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workbookAlgorithmName="SHA-512" workbookHashValue="ExgbfL9bKKtay71EZ6Pi0lSRKfdO5i+OOvo916aEQTpcK3UMnqmOGgqK/GQ5VNtCQm0Ay7gnKtw2LJQt0bG3kQ==" workbookSaltValue="ncvskYuTbWv530HuvPTD8w==" workbookSpinCount="100000" lockStructure="1"/>
  <bookViews>
    <workbookView xWindow="690" yWindow="2475" windowWidth="26325" windowHeight="12255" tabRatio="772"/>
  </bookViews>
  <sheets>
    <sheet name="Instructions" sheetId="18" r:id="rId1"/>
    <sheet name="Lender Validation" sheetId="59" r:id="rId2"/>
    <sheet name="Check Errors" sheetId="55" r:id="rId3"/>
    <sheet name="Input-Property" sheetId="57" r:id="rId4"/>
    <sheet name="QC Ranges" sheetId="37" state="hidden" r:id="rId5"/>
    <sheet name="EWEMQC" sheetId="56" state="hidden" r:id="rId6"/>
    <sheet name="Input-Utilities" sheetId="65" r:id="rId7"/>
    <sheet name="Input-WaterCalc" sheetId="36" r:id="rId8"/>
    <sheet name="Input-Solar" sheetId="66" r:id="rId9"/>
    <sheet name="Input-EWEMs" sheetId="39" r:id="rId10"/>
    <sheet name="Assumptions" sheetId="22" state="hidden" r:id="rId11"/>
    <sheet name="DB-Loans" sheetId="60" state="hidden" r:id="rId12"/>
    <sheet name="DB-Properties" sheetId="52" state="hidden" r:id="rId13"/>
    <sheet name="DB-Utilities" sheetId="50" state="hidden" r:id="rId14"/>
    <sheet name="DB-InUnitUtilities" sheetId="68" state="hidden" r:id="rId15"/>
    <sheet name="DB-WaterCalc" sheetId="63" state="hidden" r:id="rId16"/>
    <sheet name="DB-Solar" sheetId="67" state="hidden" r:id="rId17"/>
    <sheet name="DB-EWEM" sheetId="53" state="hidden" r:id="rId18"/>
    <sheet name="DB-EWEMAdjusted" sheetId="62" state="hidden" r:id="rId19"/>
    <sheet name="Report-Utilities" sheetId="15" r:id="rId20"/>
    <sheet name="Report-EWEMCostSavings" sheetId="54" r:id="rId21"/>
    <sheet name="Report-EWEMConsSavings" sheetId="42" r:id="rId22"/>
    <sheet name="Dropdowns" sheetId="21" state="hidden" r:id="rId23"/>
    <sheet name="Reference-MeasureList" sheetId="58" r:id="rId24"/>
    <sheet name="Reference-MeasureList EULs" sheetId="64" state="hidden" r:id="rId25"/>
    <sheet name="MeasureList" sheetId="41" state="hidden" r:id="rId26"/>
  </sheets>
  <externalReferences>
    <externalReference r:id="rId27"/>
    <externalReference r:id="rId28"/>
  </externalReferences>
  <definedNames>
    <definedName name="_xlnm._FilterDatabase" localSheetId="1" hidden="1">'Lender Validation'!$B$40:$B$70</definedName>
    <definedName name="All">'[1]Measure-List'!$C$2:$C$184</definedName>
    <definedName name="Category">OFFSET('[1]Measure-List'!$F$1,1,0,COUNTA('[1]Measure-List'!$F$1:$F$65536)-1,1)</definedName>
    <definedName name="Contains_an_Entry">OFFSET(INDEX('[1]Measure-List'!$B$1:$C$65536,MATCH('[1]Energy Improvements'!$B8,'[1]Measure-List'!$B$1:$B$65536,0),1),0,1,COUNTIF('[1]Measure-List'!$B$1:$B$65536,'[1]Energy Improvements'!$B8),1)</definedName>
    <definedName name="FlushFixture">[2]Instructions!$C$44:$C$46</definedName>
    <definedName name="measure_cats" comment="EWEM categories" localSheetId="2">measures_table[#Headers]</definedName>
    <definedName name="measure_cats" comment="EWEM categories" localSheetId="18">measures_table[#Headers]</definedName>
    <definedName name="measure_cats" comment="EWEM categories" localSheetId="14">measures_table[#Headers]</definedName>
    <definedName name="measure_cats" comment="EWEM categories" localSheetId="11">measures_table[#Headers]</definedName>
    <definedName name="measure_cats" comment="EWEM categories" localSheetId="12">measures_table[#Headers]</definedName>
    <definedName name="measure_cats" comment="EWEM categories" localSheetId="16">measures_table[#Headers]</definedName>
    <definedName name="measure_cats" comment="EWEM categories" localSheetId="15">measures_table[#Headers]</definedName>
    <definedName name="measure_cats" comment="EWEM categories" localSheetId="3">measures_table[#Headers]</definedName>
    <definedName name="measure_cats" comment="EWEM categories" localSheetId="8">measures_table[#Headers]</definedName>
    <definedName name="measure_cats" comment="EWEM categories" localSheetId="6">measures_table[#Headers]</definedName>
    <definedName name="measure_cats" comment="EWEM categories" localSheetId="1">measures_table[#Headers]</definedName>
    <definedName name="measure_cats" comment="EWEM categories" localSheetId="24">measures_table[#Headers]</definedName>
    <definedName name="measure_cats" comment="EWEM categories" localSheetId="21">measures_table[#Headers]</definedName>
    <definedName name="measure_cats" comment="EWEM categories" localSheetId="20">measures_table[#Headers]</definedName>
    <definedName name="measure_cats" comment="EWEM categories">measures_table[#Headers]</definedName>
    <definedName name="measures" localSheetId="2">INDEX(measures_table[],,MATCH('Input-EWEMs'!$D1,'Check Errors'!measure_cats,0))</definedName>
    <definedName name="measures" localSheetId="18">INDEX(measures_table[],,MATCH('Input-EWEMs'!$D1,'DB-EWEMAdjusted'!measure_cats,0))</definedName>
    <definedName name="measures" localSheetId="14">INDEX(measures_table[],,MATCH('Input-EWEMs'!$D1,'DB-InUnitUtilities'!measure_cats,0))</definedName>
    <definedName name="measures" localSheetId="11">INDEX(measures_table[],,MATCH('Input-EWEMs'!$D1,'DB-Loans'!measure_cats,0))</definedName>
    <definedName name="measures" localSheetId="12">INDEX(measures_table[],,MATCH('Input-EWEMs'!$D1,'DB-Properties'!measure_cats,0))</definedName>
    <definedName name="measures" localSheetId="16">INDEX(measures_table[],,MATCH('Input-EWEMs'!$D1,'DB-Solar'!measure_cats,0))</definedName>
    <definedName name="measures" localSheetId="15">INDEX(measures_table[],,MATCH('Input-EWEMs'!$D1,'DB-WaterCalc'!measure_cats,0))</definedName>
    <definedName name="measures" localSheetId="3">INDEX(measures_table[],,MATCH('Input-EWEMs'!$D1,'Input-Property'!measure_cats,0))</definedName>
    <definedName name="measures" localSheetId="8">INDEX(measures_table[],,MATCH('Input-EWEMs'!$D1,'Input-Solar'!measure_cats,0))</definedName>
    <definedName name="measures" localSheetId="6">INDEX(measures_table[],,MATCH('Input-EWEMs'!$D1,'Input-Utilities'!measure_cats,0))</definedName>
    <definedName name="measures" localSheetId="1">INDEX(measures_table[],,MATCH('Input-EWEMs'!$D1,'Lender Validation'!measure_cats,0))</definedName>
    <definedName name="measures" localSheetId="24">INDEX(measures_table[],,MATCH('Input-EWEMs'!$D1,'Reference-MeasureList EULs'!measure_cats,0))</definedName>
    <definedName name="measures" localSheetId="21">INDEX(measures_table[],,MATCH('Input-EWEMs'!$D1,'Report-EWEMConsSavings'!measure_cats,0))</definedName>
    <definedName name="measures" localSheetId="20">INDEX(measures_table[],,MATCH('Input-EWEMs'!$D1,'Report-EWEMCostSavings'!measure_cats,0))</definedName>
    <definedName name="measures">INDEX(measures_table[],,MATCH('Input-EWEMs'!$D1,measure_cats,0))</definedName>
    <definedName name="_xlnm.Print_Area" localSheetId="9">'Input-EWEMs'!$A$1:$AG$42</definedName>
    <definedName name="_xlnm.Print_Area" localSheetId="3">'Input-Property'!$A$1:$H$52</definedName>
    <definedName name="_xlnm.Print_Area" localSheetId="8">'Input-Solar'!$A$1:$L$22</definedName>
    <definedName name="_xlnm.Print_Area" localSheetId="6">'Input-Utilities'!$A$1:$N$50</definedName>
    <definedName name="Units_Gas">'[1]Measure-List'!$I$2:$I$8</definedName>
    <definedName name="Units_Oil">'[1]Measure-List'!$L$2:$L$7</definedName>
    <definedName name="Units_Propane">'[1]Measure-List'!$J$2:$J$6</definedName>
    <definedName name="Units_Steam">'[1]Measure-List'!$K$2:$K$6</definedName>
    <definedName name="Units_Water">'[1]Measure-List'!$M$2:$M$9</definedName>
  </definedNames>
  <calcPr calcId="14562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2" i="39" l="1"/>
  <c r="L42" i="39"/>
  <c r="AG42" i="39"/>
  <c r="AF42" i="39"/>
  <c r="AE42" i="39"/>
  <c r="AD42" i="39"/>
  <c r="AC42" i="39"/>
  <c r="AB42" i="39"/>
  <c r="AA42" i="39"/>
  <c r="Z42" i="39"/>
  <c r="Y42" i="39"/>
  <c r="X42" i="39"/>
  <c r="W42" i="39"/>
  <c r="V42" i="39"/>
  <c r="U42" i="39"/>
  <c r="T42" i="39"/>
  <c r="S42" i="39"/>
  <c r="R42" i="39"/>
  <c r="P42" i="39"/>
  <c r="O42" i="39"/>
  <c r="N42" i="39"/>
  <c r="M42" i="39"/>
  <c r="K42" i="39"/>
  <c r="J73" i="59"/>
  <c r="M72" i="59"/>
  <c r="L72" i="59"/>
  <c r="K72" i="59"/>
  <c r="J72" i="59"/>
  <c r="I72" i="59"/>
  <c r="Z2" i="60" l="1"/>
  <c r="I46" i="57"/>
  <c r="F13" i="59" l="1"/>
  <c r="E53" i="39" l="1"/>
  <c r="D54" i="39"/>
  <c r="A10" i="56"/>
  <c r="A9" i="56"/>
  <c r="A8" i="56"/>
  <c r="A7" i="56"/>
  <c r="A6" i="56"/>
  <c r="A5" i="56"/>
  <c r="A4" i="56"/>
  <c r="A3" i="56"/>
  <c r="A2" i="56"/>
  <c r="E8" i="56"/>
  <c r="D8" i="56"/>
  <c r="E7" i="56"/>
  <c r="D7" i="56"/>
  <c r="E6" i="56"/>
  <c r="D6" i="56"/>
  <c r="E5" i="56"/>
  <c r="D5" i="56"/>
  <c r="E4" i="56"/>
  <c r="D4" i="56"/>
  <c r="E3" i="56"/>
  <c r="D3" i="56"/>
  <c r="E2" i="56"/>
  <c r="D2" i="56"/>
  <c r="D59" i="39" l="1"/>
  <c r="J52" i="39"/>
  <c r="E61" i="39"/>
  <c r="D61" i="39"/>
  <c r="E60" i="39"/>
  <c r="D60" i="39"/>
  <c r="E59" i="39"/>
  <c r="E58" i="39"/>
  <c r="D58" i="39"/>
  <c r="E57" i="39"/>
  <c r="D57" i="39"/>
  <c r="E56" i="39"/>
  <c r="D56" i="39"/>
  <c r="E55" i="39"/>
  <c r="D55" i="39"/>
  <c r="E54" i="39"/>
  <c r="D53" i="39"/>
  <c r="E52" i="39"/>
  <c r="D52" i="39"/>
  <c r="AG52" i="39" s="1"/>
  <c r="N52" i="39" l="1"/>
  <c r="P2" i="67"/>
  <c r="F2" i="67"/>
  <c r="E2" i="67"/>
  <c r="V12" i="39"/>
  <c r="C72" i="59" l="1"/>
  <c r="E63" i="22"/>
  <c r="E64" i="22"/>
  <c r="E65" i="22"/>
  <c r="E66" i="22"/>
  <c r="E67" i="22"/>
  <c r="E68" i="22"/>
  <c r="E69" i="22"/>
  <c r="E70" i="22"/>
  <c r="E71" i="22"/>
  <c r="E72" i="22"/>
  <c r="E73" i="22"/>
  <c r="E74" i="22"/>
  <c r="E75" i="22"/>
  <c r="E76" i="22"/>
  <c r="E77" i="22"/>
  <c r="E78" i="22"/>
  <c r="E79" i="22"/>
  <c r="E80" i="22"/>
  <c r="E81" i="22"/>
  <c r="E82" i="22"/>
  <c r="B63" i="22"/>
  <c r="C63" i="22"/>
  <c r="B64" i="22"/>
  <c r="C64" i="22"/>
  <c r="B65" i="22"/>
  <c r="C65" i="22"/>
  <c r="B66" i="22"/>
  <c r="C66" i="22"/>
  <c r="B67" i="22"/>
  <c r="C67" i="22"/>
  <c r="B68" i="22"/>
  <c r="C68" i="22"/>
  <c r="B69" i="22"/>
  <c r="C69" i="22"/>
  <c r="B70" i="22"/>
  <c r="C70" i="22"/>
  <c r="B71" i="22"/>
  <c r="C71" i="22"/>
  <c r="B72" i="22"/>
  <c r="C72" i="22"/>
  <c r="B73" i="22"/>
  <c r="C73" i="22"/>
  <c r="B74" i="22"/>
  <c r="C74" i="22"/>
  <c r="B75" i="22"/>
  <c r="C75" i="22"/>
  <c r="B76" i="22"/>
  <c r="C76" i="22"/>
  <c r="B77" i="22"/>
  <c r="C77" i="22"/>
  <c r="B78" i="22"/>
  <c r="C78" i="22"/>
  <c r="B79" i="22"/>
  <c r="C79" i="22"/>
  <c r="B80" i="22"/>
  <c r="C80" i="22"/>
  <c r="B81" i="22"/>
  <c r="C81" i="22"/>
  <c r="B82" i="22"/>
  <c r="C82" i="22"/>
  <c r="B21" i="53"/>
  <c r="B22" i="53"/>
  <c r="B23" i="53"/>
  <c r="B24" i="53"/>
  <c r="B25" i="53"/>
  <c r="B26" i="53"/>
  <c r="B27" i="53"/>
  <c r="B28" i="53"/>
  <c r="B29" i="53"/>
  <c r="B30" i="53"/>
  <c r="B31" i="53"/>
  <c r="C127" i="64" l="1"/>
  <c r="J54" i="58"/>
  <c r="D52" i="55" l="1"/>
  <c r="D51" i="55"/>
  <c r="D50" i="55"/>
  <c r="D49" i="55"/>
  <c r="D48" i="55"/>
  <c r="D47" i="55"/>
  <c r="D46" i="55"/>
  <c r="D45" i="55"/>
  <c r="D44" i="55"/>
  <c r="D43" i="55"/>
  <c r="D42" i="55"/>
  <c r="L24" i="21"/>
  <c r="L25" i="21"/>
  <c r="L26" i="21"/>
  <c r="L27" i="21"/>
  <c r="L28" i="21"/>
  <c r="L29" i="21"/>
  <c r="L30" i="21"/>
  <c r="L31" i="21"/>
  <c r="L32" i="21"/>
  <c r="L33" i="21"/>
  <c r="E23" i="65"/>
  <c r="C29" i="54"/>
  <c r="I29" i="54" s="1"/>
  <c r="D29" i="54"/>
  <c r="E29" i="54"/>
  <c r="F29" i="54"/>
  <c r="C30" i="54"/>
  <c r="I30" i="54" s="1"/>
  <c r="D30" i="54"/>
  <c r="E30" i="54"/>
  <c r="F30" i="54"/>
  <c r="C31" i="54"/>
  <c r="I31" i="54" s="1"/>
  <c r="D31" i="54"/>
  <c r="E31" i="54"/>
  <c r="F31" i="54"/>
  <c r="C32" i="54"/>
  <c r="I32" i="54" s="1"/>
  <c r="D32" i="54"/>
  <c r="E32" i="54"/>
  <c r="F32" i="54"/>
  <c r="C33" i="54"/>
  <c r="I33" i="54" s="1"/>
  <c r="D33" i="54"/>
  <c r="E33" i="54"/>
  <c r="F33" i="54"/>
  <c r="C34" i="54"/>
  <c r="I34" i="54" s="1"/>
  <c r="D34" i="54"/>
  <c r="E34" i="54"/>
  <c r="F34" i="54"/>
  <c r="C35" i="54"/>
  <c r="I35" i="54" s="1"/>
  <c r="D35" i="54"/>
  <c r="E35" i="54"/>
  <c r="F35" i="54"/>
  <c r="C36" i="54"/>
  <c r="I36" i="54" s="1"/>
  <c r="D36" i="54"/>
  <c r="E36" i="54"/>
  <c r="F36" i="54"/>
  <c r="C37" i="54"/>
  <c r="I37" i="54" s="1"/>
  <c r="D37" i="54"/>
  <c r="E37" i="54"/>
  <c r="F37" i="54"/>
  <c r="C38" i="54"/>
  <c r="I38" i="54" s="1"/>
  <c r="D38" i="54"/>
  <c r="E38" i="54"/>
  <c r="F38" i="54"/>
  <c r="C39" i="54"/>
  <c r="I39" i="54" s="1"/>
  <c r="D39" i="54"/>
  <c r="E39" i="54"/>
  <c r="F39" i="54"/>
  <c r="C30" i="42"/>
  <c r="J30" i="42" s="1"/>
  <c r="D30" i="42"/>
  <c r="E30" i="42"/>
  <c r="F30" i="42"/>
  <c r="G30" i="42"/>
  <c r="C31" i="42"/>
  <c r="J31" i="42" s="1"/>
  <c r="D31" i="42"/>
  <c r="E31" i="42"/>
  <c r="F31" i="42"/>
  <c r="G31" i="42"/>
  <c r="C32" i="42"/>
  <c r="J32" i="42" s="1"/>
  <c r="D32" i="42"/>
  <c r="E32" i="42"/>
  <c r="F32" i="42"/>
  <c r="G32" i="42"/>
  <c r="C33" i="42"/>
  <c r="J33" i="42" s="1"/>
  <c r="D33" i="42"/>
  <c r="E33" i="42"/>
  <c r="F33" i="42"/>
  <c r="G33" i="42"/>
  <c r="C34" i="42"/>
  <c r="J34" i="42" s="1"/>
  <c r="D34" i="42"/>
  <c r="E34" i="42"/>
  <c r="F34" i="42"/>
  <c r="G34" i="42"/>
  <c r="C35" i="42"/>
  <c r="J35" i="42" s="1"/>
  <c r="D35" i="42"/>
  <c r="E35" i="42"/>
  <c r="F35" i="42"/>
  <c r="G35" i="42"/>
  <c r="C36" i="42"/>
  <c r="J36" i="42" s="1"/>
  <c r="D36" i="42"/>
  <c r="E36" i="42"/>
  <c r="F36" i="42"/>
  <c r="G36" i="42"/>
  <c r="C37" i="42"/>
  <c r="J37" i="42" s="1"/>
  <c r="D37" i="42"/>
  <c r="E37" i="42"/>
  <c r="F37" i="42"/>
  <c r="G37" i="42"/>
  <c r="C38" i="42"/>
  <c r="J38" i="42" s="1"/>
  <c r="D38" i="42"/>
  <c r="E38" i="42"/>
  <c r="F38" i="42"/>
  <c r="G38" i="42"/>
  <c r="C39" i="42"/>
  <c r="J39" i="42" s="1"/>
  <c r="D39" i="42"/>
  <c r="E39" i="42"/>
  <c r="F39" i="42"/>
  <c r="G39" i="42"/>
  <c r="C40" i="42"/>
  <c r="J40" i="42" s="1"/>
  <c r="D40" i="42"/>
  <c r="E40" i="42"/>
  <c r="F40" i="42"/>
  <c r="G40" i="42"/>
  <c r="E7" i="53"/>
  <c r="E8" i="53"/>
  <c r="E9" i="53"/>
  <c r="E10" i="53"/>
  <c r="E11" i="53"/>
  <c r="E12" i="53"/>
  <c r="E13" i="53"/>
  <c r="E14" i="53"/>
  <c r="E15" i="53"/>
  <c r="E16" i="53"/>
  <c r="E17" i="53"/>
  <c r="E18" i="53"/>
  <c r="E19" i="53"/>
  <c r="E20" i="53"/>
  <c r="E21" i="53"/>
  <c r="E22" i="53"/>
  <c r="E23" i="53"/>
  <c r="E24" i="53"/>
  <c r="E25" i="53"/>
  <c r="E26" i="53"/>
  <c r="E27" i="53"/>
  <c r="E28" i="53"/>
  <c r="E29" i="53"/>
  <c r="E30" i="53"/>
  <c r="E31" i="53"/>
  <c r="E3" i="53"/>
  <c r="E4" i="53"/>
  <c r="E5" i="53"/>
  <c r="E6" i="53"/>
  <c r="M70" i="59" l="1"/>
  <c r="N70" i="59"/>
  <c r="K70" i="59"/>
  <c r="J70" i="59"/>
  <c r="I70" i="59"/>
  <c r="H70" i="59"/>
  <c r="E70" i="59"/>
  <c r="D70" i="59"/>
  <c r="D60" i="59"/>
  <c r="E60" i="59"/>
  <c r="H60" i="59"/>
  <c r="I60" i="59"/>
  <c r="J60" i="59"/>
  <c r="K60" i="59"/>
  <c r="M60" i="59"/>
  <c r="N60" i="59"/>
  <c r="D61" i="59"/>
  <c r="E61" i="59"/>
  <c r="H61" i="59"/>
  <c r="I61" i="59"/>
  <c r="J61" i="59"/>
  <c r="K61" i="59"/>
  <c r="M61" i="59"/>
  <c r="N61" i="59"/>
  <c r="D62" i="59"/>
  <c r="E62" i="59"/>
  <c r="H62" i="59"/>
  <c r="I62" i="59"/>
  <c r="J62" i="59"/>
  <c r="K62" i="59"/>
  <c r="M62" i="59"/>
  <c r="N62" i="59"/>
  <c r="D63" i="59"/>
  <c r="E63" i="59"/>
  <c r="H63" i="59"/>
  <c r="I63" i="59"/>
  <c r="J63" i="59"/>
  <c r="K63" i="59"/>
  <c r="M63" i="59"/>
  <c r="N63" i="59"/>
  <c r="D64" i="59"/>
  <c r="E64" i="59"/>
  <c r="H64" i="59"/>
  <c r="I64" i="59"/>
  <c r="J64" i="59"/>
  <c r="K64" i="59"/>
  <c r="M64" i="59"/>
  <c r="N64" i="59"/>
  <c r="D65" i="59"/>
  <c r="E65" i="59"/>
  <c r="H65" i="59"/>
  <c r="I65" i="59"/>
  <c r="J65" i="59"/>
  <c r="K65" i="59"/>
  <c r="M65" i="59"/>
  <c r="N65" i="59"/>
  <c r="D66" i="59"/>
  <c r="E66" i="59"/>
  <c r="H66" i="59"/>
  <c r="I66" i="59"/>
  <c r="J66" i="59"/>
  <c r="K66" i="59"/>
  <c r="M66" i="59"/>
  <c r="N66" i="59"/>
  <c r="D67" i="59"/>
  <c r="E67" i="59"/>
  <c r="H67" i="59"/>
  <c r="I67" i="59"/>
  <c r="J67" i="59"/>
  <c r="K67" i="59"/>
  <c r="M67" i="59"/>
  <c r="N67" i="59"/>
  <c r="D68" i="59"/>
  <c r="E68" i="59"/>
  <c r="H68" i="59"/>
  <c r="I68" i="59"/>
  <c r="J68" i="59"/>
  <c r="K68" i="59"/>
  <c r="M68" i="59"/>
  <c r="N68" i="59"/>
  <c r="D69" i="59"/>
  <c r="E69" i="59"/>
  <c r="H69" i="59"/>
  <c r="I69" i="59"/>
  <c r="J69" i="59"/>
  <c r="K69" i="59"/>
  <c r="M69" i="59"/>
  <c r="N69" i="59"/>
  <c r="C22" i="53"/>
  <c r="D22" i="53"/>
  <c r="F22" i="53"/>
  <c r="G22" i="53"/>
  <c r="H22" i="53"/>
  <c r="I22" i="53"/>
  <c r="J22" i="53"/>
  <c r="K22" i="53"/>
  <c r="M22" i="53"/>
  <c r="N22" i="53"/>
  <c r="P22" i="53"/>
  <c r="Q22" i="53"/>
  <c r="T22" i="53"/>
  <c r="U22" i="53"/>
  <c r="V22" i="53"/>
  <c r="W22" i="53"/>
  <c r="X22" i="53"/>
  <c r="Y22" i="53"/>
  <c r="AA22" i="53"/>
  <c r="AB22" i="53"/>
  <c r="AC22" i="53"/>
  <c r="AD22" i="53"/>
  <c r="AE22" i="53"/>
  <c r="AF22" i="53"/>
  <c r="AK22" i="53"/>
  <c r="C23" i="53"/>
  <c r="D23" i="53"/>
  <c r="F23" i="53"/>
  <c r="G23" i="53"/>
  <c r="H23" i="53"/>
  <c r="I23" i="53"/>
  <c r="J23" i="53"/>
  <c r="K23" i="53"/>
  <c r="M23" i="53"/>
  <c r="N23" i="53"/>
  <c r="O23" i="53"/>
  <c r="L23" i="53" s="1"/>
  <c r="P23" i="53"/>
  <c r="Q23" i="53"/>
  <c r="R23" i="53"/>
  <c r="T23" i="53"/>
  <c r="U23" i="53"/>
  <c r="V23" i="53"/>
  <c r="W23" i="53"/>
  <c r="X23" i="53"/>
  <c r="Y23" i="53"/>
  <c r="AA23" i="53"/>
  <c r="AB23" i="53"/>
  <c r="AC23" i="53"/>
  <c r="AD23" i="53"/>
  <c r="AE23" i="53"/>
  <c r="AF23" i="53"/>
  <c r="C24" i="53"/>
  <c r="D24" i="53"/>
  <c r="F24" i="53"/>
  <c r="G24" i="53"/>
  <c r="H24" i="53"/>
  <c r="I24" i="53"/>
  <c r="J24" i="53"/>
  <c r="K24" i="53"/>
  <c r="M24" i="53"/>
  <c r="N24" i="53"/>
  <c r="P24" i="53"/>
  <c r="Q24" i="53"/>
  <c r="R24" i="53"/>
  <c r="T24" i="53"/>
  <c r="U24" i="53"/>
  <c r="V24" i="53"/>
  <c r="W24" i="53"/>
  <c r="X24" i="53"/>
  <c r="Y24" i="53"/>
  <c r="AA24" i="53"/>
  <c r="AB24" i="53"/>
  <c r="AC24" i="53"/>
  <c r="AD24" i="53"/>
  <c r="AE24" i="53"/>
  <c r="AF24" i="53"/>
  <c r="C25" i="53"/>
  <c r="D25" i="53"/>
  <c r="F25" i="53"/>
  <c r="G25" i="53"/>
  <c r="H25" i="53"/>
  <c r="I25" i="53"/>
  <c r="J25" i="53"/>
  <c r="K25" i="53"/>
  <c r="M25" i="53"/>
  <c r="N25" i="53"/>
  <c r="P25" i="53"/>
  <c r="Q25" i="53"/>
  <c r="T25" i="53"/>
  <c r="U25" i="53"/>
  <c r="V25" i="53"/>
  <c r="W25" i="53"/>
  <c r="X25" i="53"/>
  <c r="Y25" i="53"/>
  <c r="AA25" i="53"/>
  <c r="AB25" i="53"/>
  <c r="AC25" i="53"/>
  <c r="AD25" i="53"/>
  <c r="AE25" i="53"/>
  <c r="AF25" i="53"/>
  <c r="C26" i="53"/>
  <c r="D26" i="53"/>
  <c r="F26" i="53"/>
  <c r="G26" i="53"/>
  <c r="H26" i="53"/>
  <c r="I26" i="53"/>
  <c r="J26" i="53"/>
  <c r="K26" i="53"/>
  <c r="M26" i="53"/>
  <c r="N26" i="53"/>
  <c r="P26" i="53"/>
  <c r="Q26" i="53"/>
  <c r="T26" i="53"/>
  <c r="U26" i="53"/>
  <c r="V26" i="53"/>
  <c r="W26" i="53"/>
  <c r="X26" i="53"/>
  <c r="Y26" i="53"/>
  <c r="AA26" i="53"/>
  <c r="AB26" i="53"/>
  <c r="AC26" i="53"/>
  <c r="AD26" i="53"/>
  <c r="AE26" i="53"/>
  <c r="AF26" i="53"/>
  <c r="C27" i="53"/>
  <c r="D27" i="53"/>
  <c r="F27" i="53"/>
  <c r="G27" i="53"/>
  <c r="H27" i="53"/>
  <c r="I27" i="53"/>
  <c r="J27" i="53"/>
  <c r="K27" i="53"/>
  <c r="M27" i="53"/>
  <c r="N27" i="53"/>
  <c r="P27" i="53"/>
  <c r="Q27" i="53"/>
  <c r="T27" i="53"/>
  <c r="U27" i="53"/>
  <c r="V27" i="53"/>
  <c r="W27" i="53"/>
  <c r="X27" i="53"/>
  <c r="Y27" i="53"/>
  <c r="AA27" i="53"/>
  <c r="AB27" i="53"/>
  <c r="AC27" i="53"/>
  <c r="AD27" i="53"/>
  <c r="AE27" i="53"/>
  <c r="AF27" i="53"/>
  <c r="C28" i="53"/>
  <c r="D28" i="53"/>
  <c r="F28" i="53"/>
  <c r="G28" i="53"/>
  <c r="H28" i="53"/>
  <c r="I28" i="53"/>
  <c r="J28" i="53"/>
  <c r="K28" i="53"/>
  <c r="M28" i="53"/>
  <c r="N28" i="53"/>
  <c r="P28" i="53"/>
  <c r="Q28" i="53"/>
  <c r="T28" i="53"/>
  <c r="U28" i="53"/>
  <c r="V28" i="53"/>
  <c r="W28" i="53"/>
  <c r="X28" i="53"/>
  <c r="Y28" i="53"/>
  <c r="AA28" i="53"/>
  <c r="AB28" i="53"/>
  <c r="AC28" i="53"/>
  <c r="AD28" i="53"/>
  <c r="AE28" i="53"/>
  <c r="AF28" i="53"/>
  <c r="C29" i="53"/>
  <c r="D29" i="53"/>
  <c r="F29" i="53"/>
  <c r="G29" i="53"/>
  <c r="H29" i="53"/>
  <c r="I29" i="53"/>
  <c r="J29" i="53"/>
  <c r="K29" i="53"/>
  <c r="M29" i="53"/>
  <c r="N29" i="53"/>
  <c r="P29" i="53"/>
  <c r="Q29" i="53"/>
  <c r="T29" i="53"/>
  <c r="U29" i="53"/>
  <c r="V29" i="53"/>
  <c r="W29" i="53"/>
  <c r="X29" i="53"/>
  <c r="Y29" i="53"/>
  <c r="AA29" i="53"/>
  <c r="AB29" i="53"/>
  <c r="AC29" i="53"/>
  <c r="AD29" i="53"/>
  <c r="AE29" i="53"/>
  <c r="AF29" i="53"/>
  <c r="C30" i="53"/>
  <c r="D30" i="53"/>
  <c r="F30" i="53"/>
  <c r="G30" i="53"/>
  <c r="H30" i="53"/>
  <c r="I30" i="53"/>
  <c r="J30" i="53"/>
  <c r="K30" i="53"/>
  <c r="M30" i="53"/>
  <c r="N30" i="53"/>
  <c r="P30" i="53"/>
  <c r="Q30" i="53"/>
  <c r="T30" i="53"/>
  <c r="U30" i="53"/>
  <c r="V30" i="53"/>
  <c r="W30" i="53"/>
  <c r="X30" i="53"/>
  <c r="Y30" i="53"/>
  <c r="AA30" i="53"/>
  <c r="AB30" i="53"/>
  <c r="AC30" i="53"/>
  <c r="AD30" i="53"/>
  <c r="AE30" i="53"/>
  <c r="AF30" i="53"/>
  <c r="C31" i="53"/>
  <c r="D31" i="53"/>
  <c r="F31" i="53"/>
  <c r="G31" i="53"/>
  <c r="H31" i="53"/>
  <c r="I31" i="53"/>
  <c r="J31" i="53"/>
  <c r="K31" i="53"/>
  <c r="M31" i="53"/>
  <c r="N31" i="53"/>
  <c r="P31" i="53"/>
  <c r="Q31" i="53"/>
  <c r="T31" i="53"/>
  <c r="U31" i="53"/>
  <c r="V31" i="53"/>
  <c r="W31" i="53"/>
  <c r="X31" i="53"/>
  <c r="Y31" i="53"/>
  <c r="AA31" i="53"/>
  <c r="AB31" i="53"/>
  <c r="AC31" i="53"/>
  <c r="AD31" i="53"/>
  <c r="AE31" i="53"/>
  <c r="AF31" i="53"/>
  <c r="J31" i="39"/>
  <c r="N31" i="39"/>
  <c r="L60" i="59" s="1"/>
  <c r="Q31" i="39"/>
  <c r="O60" i="59" s="1"/>
  <c r="V31" i="39"/>
  <c r="Y31" i="39" s="1"/>
  <c r="W31" i="39"/>
  <c r="Z31" i="39" s="1"/>
  <c r="X31" i="39"/>
  <c r="AA31" i="39" s="1"/>
  <c r="AD31" i="39"/>
  <c r="R60" i="59" s="1"/>
  <c r="J32" i="39"/>
  <c r="N32" i="39"/>
  <c r="L61" i="59" s="1"/>
  <c r="Q32" i="39"/>
  <c r="O61" i="59" s="1"/>
  <c r="V32" i="39"/>
  <c r="Y32" i="39" s="1"/>
  <c r="Z22" i="53" s="1"/>
  <c r="W32" i="39"/>
  <c r="X32" i="39"/>
  <c r="AA32" i="39" s="1"/>
  <c r="AD32" i="39"/>
  <c r="R61" i="59" s="1"/>
  <c r="AG32" i="39"/>
  <c r="T61" i="59" s="1"/>
  <c r="AH32" i="39"/>
  <c r="AL22" i="53" s="1"/>
  <c r="J33" i="39"/>
  <c r="N33" i="39"/>
  <c r="L62" i="59" s="1"/>
  <c r="Q33" i="39"/>
  <c r="O62" i="59" s="1"/>
  <c r="V33" i="39"/>
  <c r="Y33" i="39" s="1"/>
  <c r="Z23" i="53" s="1"/>
  <c r="W33" i="39"/>
  <c r="X33" i="39"/>
  <c r="AA33" i="39" s="1"/>
  <c r="AD33" i="39"/>
  <c r="R62" i="59" s="1"/>
  <c r="AG33" i="39"/>
  <c r="AK23" i="53" s="1"/>
  <c r="AH33" i="39"/>
  <c r="AL23" i="53" s="1"/>
  <c r="J34" i="39"/>
  <c r="N34" i="39"/>
  <c r="L63" i="59" s="1"/>
  <c r="Q34" i="39"/>
  <c r="O63" i="59" s="1"/>
  <c r="V34" i="39"/>
  <c r="W34" i="39"/>
  <c r="Z34" i="39" s="1"/>
  <c r="X34" i="39"/>
  <c r="AA34" i="39" s="1"/>
  <c r="AD34" i="39"/>
  <c r="R63" i="59" s="1"/>
  <c r="AG34" i="39"/>
  <c r="T63" i="59" s="1"/>
  <c r="AH34" i="39"/>
  <c r="AL24" i="53" s="1"/>
  <c r="J35" i="39"/>
  <c r="N35" i="39"/>
  <c r="L64" i="59" s="1"/>
  <c r="Q35" i="39"/>
  <c r="R25" i="53" s="1"/>
  <c r="V35" i="39"/>
  <c r="W35" i="39"/>
  <c r="Z35" i="39" s="1"/>
  <c r="X35" i="39"/>
  <c r="AA35" i="39" s="1"/>
  <c r="AD35" i="39"/>
  <c r="R64" i="59" s="1"/>
  <c r="AH35" i="39"/>
  <c r="AL25" i="53" s="1"/>
  <c r="J36" i="39"/>
  <c r="N36" i="39"/>
  <c r="Q36" i="39"/>
  <c r="R26" i="53" s="1"/>
  <c r="V36" i="39"/>
  <c r="W36" i="39"/>
  <c r="Z36" i="39" s="1"/>
  <c r="X36" i="39"/>
  <c r="AA36" i="39" s="1"/>
  <c r="AD36" i="39"/>
  <c r="R65" i="59" s="1"/>
  <c r="AG36" i="39"/>
  <c r="T65" i="59" s="1"/>
  <c r="AH36" i="39"/>
  <c r="AL26" i="53" s="1"/>
  <c r="J37" i="39"/>
  <c r="N37" i="39"/>
  <c r="Q37" i="39"/>
  <c r="V37" i="39"/>
  <c r="W37" i="39"/>
  <c r="Z37" i="39" s="1"/>
  <c r="X37" i="39"/>
  <c r="AA37" i="39" s="1"/>
  <c r="AD37" i="39"/>
  <c r="R66" i="59" s="1"/>
  <c r="AG37" i="39"/>
  <c r="AK27" i="53" s="1"/>
  <c r="AH37" i="39"/>
  <c r="AL27" i="53" s="1"/>
  <c r="J38" i="39"/>
  <c r="N38" i="39"/>
  <c r="L67" i="59" s="1"/>
  <c r="Q38" i="39"/>
  <c r="O67" i="59" s="1"/>
  <c r="V38" i="39"/>
  <c r="W38" i="39"/>
  <c r="Z38" i="39" s="1"/>
  <c r="X38" i="39"/>
  <c r="AA38" i="39" s="1"/>
  <c r="AD38" i="39"/>
  <c r="R67" i="59" s="1"/>
  <c r="AG38" i="39"/>
  <c r="T67" i="59" s="1"/>
  <c r="AH38" i="39"/>
  <c r="AL28" i="53" s="1"/>
  <c r="J39" i="39"/>
  <c r="N39" i="39"/>
  <c r="Q39" i="39"/>
  <c r="V39" i="39"/>
  <c r="W39" i="39"/>
  <c r="Z39" i="39" s="1"/>
  <c r="X39" i="39"/>
  <c r="AA39" i="39" s="1"/>
  <c r="AD39" i="39"/>
  <c r="AI29" i="53" s="1"/>
  <c r="AG39" i="39"/>
  <c r="AK29" i="53" s="1"/>
  <c r="AH39" i="39"/>
  <c r="AL29" i="53" s="1"/>
  <c r="J40" i="39"/>
  <c r="N40" i="39"/>
  <c r="O30" i="53" s="1"/>
  <c r="Q40" i="39"/>
  <c r="O69" i="59" s="1"/>
  <c r="V40" i="39"/>
  <c r="S30" i="53" s="1"/>
  <c r="W40" i="39"/>
  <c r="Z40" i="39" s="1"/>
  <c r="X40" i="39"/>
  <c r="AA40" i="39" s="1"/>
  <c r="AD40" i="39"/>
  <c r="R69" i="59" s="1"/>
  <c r="AG40" i="39"/>
  <c r="T69" i="59" s="1"/>
  <c r="AH40" i="39"/>
  <c r="AL30" i="53" s="1"/>
  <c r="J41" i="39"/>
  <c r="N41" i="39"/>
  <c r="Q41" i="39"/>
  <c r="V41" i="39"/>
  <c r="W41" i="39"/>
  <c r="Z41" i="39" s="1"/>
  <c r="X41" i="39"/>
  <c r="AA41" i="39" s="1"/>
  <c r="AD41" i="39"/>
  <c r="R70" i="59" s="1"/>
  <c r="AG41" i="39"/>
  <c r="AH41" i="39"/>
  <c r="AL31" i="53" s="1"/>
  <c r="O29" i="53" l="1"/>
  <c r="R29" i="53"/>
  <c r="L69" i="59"/>
  <c r="AB32" i="39"/>
  <c r="P61" i="59" s="1"/>
  <c r="S22" i="53"/>
  <c r="AG22" i="53" s="1"/>
  <c r="AI27" i="53"/>
  <c r="R68" i="59"/>
  <c r="AB41" i="39"/>
  <c r="AB39" i="39"/>
  <c r="P68" i="59" s="1"/>
  <c r="AB35" i="39"/>
  <c r="P64" i="59" s="1"/>
  <c r="AG30" i="53"/>
  <c r="AI26" i="53"/>
  <c r="AC31" i="39"/>
  <c r="Q60" i="59" s="1"/>
  <c r="AB37" i="39"/>
  <c r="P66" i="59" s="1"/>
  <c r="AB33" i="39"/>
  <c r="P62" i="59" s="1"/>
  <c r="S27" i="53"/>
  <c r="AG27" i="53" s="1"/>
  <c r="S25" i="53"/>
  <c r="AG25" i="53" s="1"/>
  <c r="AH22" i="53"/>
  <c r="S23" i="53"/>
  <c r="AG23" i="53" s="1"/>
  <c r="AB38" i="39"/>
  <c r="P67" i="59" s="1"/>
  <c r="Z32" i="39"/>
  <c r="AC32" i="39" s="1"/>
  <c r="Q61" i="59" s="1"/>
  <c r="AI23" i="53"/>
  <c r="AI22" i="53"/>
  <c r="AH23" i="53"/>
  <c r="AI30" i="53"/>
  <c r="AB40" i="39"/>
  <c r="P69" i="59" s="1"/>
  <c r="AB36" i="39"/>
  <c r="P65" i="59" s="1"/>
  <c r="AB34" i="39"/>
  <c r="P63" i="59" s="1"/>
  <c r="AB31" i="39"/>
  <c r="P60" i="59" s="1"/>
  <c r="S31" i="53"/>
  <c r="AG31" i="53" s="1"/>
  <c r="S28" i="53"/>
  <c r="AG28" i="53" s="1"/>
  <c r="S24" i="53"/>
  <c r="AG24" i="53" s="1"/>
  <c r="S26" i="53"/>
  <c r="AG26" i="53" s="1"/>
  <c r="Z33" i="39"/>
  <c r="AC33" i="39" s="1"/>
  <c r="Q62" i="59" s="1"/>
  <c r="AI31" i="53"/>
  <c r="S29" i="53"/>
  <c r="AG29" i="53" s="1"/>
  <c r="AI28" i="53"/>
  <c r="AI24" i="53"/>
  <c r="L30" i="53"/>
  <c r="AM30" i="53" s="1"/>
  <c r="AK30" i="53"/>
  <c r="R30" i="53"/>
  <c r="AK28" i="53"/>
  <c r="R28" i="53"/>
  <c r="O28" i="53"/>
  <c r="R27" i="53"/>
  <c r="O27" i="53"/>
  <c r="L27" i="53" s="1"/>
  <c r="AM27" i="53" s="1"/>
  <c r="AK26" i="53"/>
  <c r="O26" i="53"/>
  <c r="L26" i="53" s="1"/>
  <c r="AM26" i="53" s="1"/>
  <c r="O24" i="53"/>
  <c r="L24" i="53" s="1"/>
  <c r="AM24" i="53" s="1"/>
  <c r="AK24" i="53"/>
  <c r="R22" i="53"/>
  <c r="O22" i="53"/>
  <c r="O31" i="53"/>
  <c r="L31" i="53" s="1"/>
  <c r="AM31" i="53" s="1"/>
  <c r="O64" i="59"/>
  <c r="T70" i="59"/>
  <c r="I40" i="42"/>
  <c r="H39" i="54"/>
  <c r="H37" i="54"/>
  <c r="I38" i="42"/>
  <c r="H35" i="54"/>
  <c r="I36" i="42"/>
  <c r="T66" i="59"/>
  <c r="H38" i="54"/>
  <c r="I39" i="42"/>
  <c r="H36" i="54"/>
  <c r="I37" i="42"/>
  <c r="H34" i="54"/>
  <c r="I35" i="42"/>
  <c r="I32" i="42"/>
  <c r="H31" i="54"/>
  <c r="T62" i="59"/>
  <c r="H32" i="54"/>
  <c r="I33" i="42"/>
  <c r="T68" i="59"/>
  <c r="I31" i="42"/>
  <c r="H30" i="54"/>
  <c r="AI25" i="53"/>
  <c r="AM23" i="53"/>
  <c r="O25" i="53"/>
  <c r="L25" i="53" s="1"/>
  <c r="AM25" i="53" s="1"/>
  <c r="AK31" i="53"/>
  <c r="R31" i="53"/>
  <c r="Y41" i="39"/>
  <c r="Y40" i="39"/>
  <c r="Y39" i="39"/>
  <c r="Y38" i="39"/>
  <c r="Y37" i="39"/>
  <c r="Y36" i="39"/>
  <c r="Y35" i="39"/>
  <c r="Y34" i="39"/>
  <c r="H42" i="59"/>
  <c r="H59" i="59"/>
  <c r="H58" i="59"/>
  <c r="H57" i="59"/>
  <c r="H56" i="59"/>
  <c r="H55" i="59"/>
  <c r="H54" i="59"/>
  <c r="H53" i="59"/>
  <c r="H52" i="59"/>
  <c r="H51" i="59"/>
  <c r="H50" i="59"/>
  <c r="H49" i="59"/>
  <c r="H48" i="59"/>
  <c r="H47" i="59"/>
  <c r="H46" i="59"/>
  <c r="H45" i="59"/>
  <c r="H44" i="59"/>
  <c r="H43" i="59"/>
  <c r="H41" i="59"/>
  <c r="I41" i="59"/>
  <c r="L29" i="53" l="1"/>
  <c r="AM29" i="53" s="1"/>
  <c r="AC35" i="39"/>
  <c r="Q64" i="59" s="1"/>
  <c r="Z25" i="53"/>
  <c r="AH25" i="53" s="1"/>
  <c r="AC36" i="39"/>
  <c r="Q65" i="59" s="1"/>
  <c r="Z26" i="53"/>
  <c r="AH26" i="53" s="1"/>
  <c r="AC34" i="39"/>
  <c r="Q63" i="59" s="1"/>
  <c r="Z24" i="53"/>
  <c r="AH24" i="53" s="1"/>
  <c r="AC39" i="39"/>
  <c r="Q68" i="59" s="1"/>
  <c r="Z29" i="53"/>
  <c r="AH29" i="53" s="1"/>
  <c r="AC41" i="39"/>
  <c r="Z31" i="53"/>
  <c r="AH31" i="53" s="1"/>
  <c r="AC37" i="39"/>
  <c r="Q66" i="59" s="1"/>
  <c r="Z27" i="53"/>
  <c r="AH27" i="53" s="1"/>
  <c r="AC38" i="39"/>
  <c r="Q67" i="59" s="1"/>
  <c r="Z28" i="53"/>
  <c r="AH28" i="53" s="1"/>
  <c r="AC40" i="39"/>
  <c r="Q69" i="59" s="1"/>
  <c r="Z30" i="53"/>
  <c r="AH30" i="53" s="1"/>
  <c r="L28" i="53"/>
  <c r="AM28" i="53" s="1"/>
  <c r="L22" i="53"/>
  <c r="AM22" i="53" s="1"/>
  <c r="E26" i="65"/>
  <c r="F6" i="22" l="1"/>
  <c r="H7" i="22"/>
  <c r="F15" i="22"/>
  <c r="H6" i="22"/>
  <c r="AN25" i="53" l="1"/>
  <c r="AN30" i="53"/>
  <c r="AN31" i="53"/>
  <c r="AN22" i="53"/>
  <c r="AN26" i="53"/>
  <c r="AN27" i="53"/>
  <c r="AN28" i="53"/>
  <c r="AN23" i="53"/>
  <c r="AN29" i="53"/>
  <c r="AN24" i="53"/>
  <c r="C38" i="64"/>
  <c r="C38" i="58"/>
  <c r="O9" i="63"/>
  <c r="O10" i="63"/>
  <c r="O11" i="63"/>
  <c r="O12" i="63"/>
  <c r="O13" i="63"/>
  <c r="N10" i="63"/>
  <c r="N11" i="63"/>
  <c r="N12" i="63"/>
  <c r="N13" i="63"/>
  <c r="AG30" i="39" l="1"/>
  <c r="AG29" i="39"/>
  <c r="AG27" i="39"/>
  <c r="AG26" i="39"/>
  <c r="AG25" i="39"/>
  <c r="AG24" i="39"/>
  <c r="AG23" i="39"/>
  <c r="D5" i="50" l="1"/>
  <c r="D4" i="50"/>
  <c r="D3" i="50"/>
  <c r="B10" i="63" l="1"/>
  <c r="C5" i="50"/>
  <c r="C4" i="50"/>
  <c r="C3" i="50"/>
  <c r="F28" i="42" l="1"/>
  <c r="C25" i="65" l="1"/>
  <c r="K3" i="53"/>
  <c r="M3" i="53"/>
  <c r="N3" i="53"/>
  <c r="P3" i="53"/>
  <c r="Q3" i="53"/>
  <c r="K4" i="53"/>
  <c r="M4" i="53"/>
  <c r="N4" i="53"/>
  <c r="P4" i="53"/>
  <c r="Q4" i="53"/>
  <c r="K5" i="53"/>
  <c r="M5" i="53"/>
  <c r="N5" i="53"/>
  <c r="P5" i="53"/>
  <c r="Q5" i="53"/>
  <c r="K6" i="53"/>
  <c r="M6" i="53"/>
  <c r="N6" i="53"/>
  <c r="P6" i="53"/>
  <c r="Q6" i="53"/>
  <c r="K7" i="53"/>
  <c r="M7" i="53"/>
  <c r="N7" i="53"/>
  <c r="P7" i="53"/>
  <c r="Q7" i="53"/>
  <c r="K8" i="53"/>
  <c r="M8" i="53"/>
  <c r="N8" i="53"/>
  <c r="P8" i="53"/>
  <c r="Q8" i="53"/>
  <c r="K9" i="53"/>
  <c r="M9" i="53"/>
  <c r="N9" i="53"/>
  <c r="P9" i="53"/>
  <c r="Q9" i="53"/>
  <c r="K10" i="53"/>
  <c r="M10" i="53"/>
  <c r="N10" i="53"/>
  <c r="P10" i="53"/>
  <c r="Q10" i="53"/>
  <c r="K11" i="53"/>
  <c r="M11" i="53"/>
  <c r="N11" i="53"/>
  <c r="P11" i="53"/>
  <c r="Q11" i="53"/>
  <c r="K12" i="53"/>
  <c r="M12" i="53"/>
  <c r="N12" i="53"/>
  <c r="P12" i="53"/>
  <c r="Q12" i="53"/>
  <c r="K13" i="53"/>
  <c r="M13" i="53"/>
  <c r="N13" i="53"/>
  <c r="P13" i="53"/>
  <c r="Q13" i="53"/>
  <c r="K14" i="53"/>
  <c r="M14" i="53"/>
  <c r="N14" i="53"/>
  <c r="P14" i="53"/>
  <c r="Q14" i="53"/>
  <c r="K15" i="53"/>
  <c r="M15" i="53"/>
  <c r="N15" i="53"/>
  <c r="P15" i="53"/>
  <c r="Q15" i="53"/>
  <c r="K16" i="53"/>
  <c r="M16" i="53"/>
  <c r="N16" i="53"/>
  <c r="P16" i="53"/>
  <c r="Q16" i="53"/>
  <c r="K17" i="53"/>
  <c r="M17" i="53"/>
  <c r="N17" i="53"/>
  <c r="P17" i="53"/>
  <c r="Q17" i="53"/>
  <c r="K18" i="53"/>
  <c r="M18" i="53"/>
  <c r="N18" i="53"/>
  <c r="P18" i="53"/>
  <c r="Q18" i="53"/>
  <c r="K19" i="53"/>
  <c r="M19" i="53"/>
  <c r="N19" i="53"/>
  <c r="P19" i="53"/>
  <c r="Q19" i="53"/>
  <c r="K20" i="53"/>
  <c r="M20" i="53"/>
  <c r="N20" i="53"/>
  <c r="P20" i="53"/>
  <c r="Q20" i="53"/>
  <c r="K21" i="53"/>
  <c r="M21" i="53"/>
  <c r="N21" i="53"/>
  <c r="O21" i="53"/>
  <c r="P21" i="53"/>
  <c r="Q21" i="53"/>
  <c r="R21" i="53"/>
  <c r="Q2" i="53"/>
  <c r="P2" i="53"/>
  <c r="N2" i="53"/>
  <c r="M2" i="53"/>
  <c r="K2" i="53"/>
  <c r="D2" i="50"/>
  <c r="C2" i="50"/>
  <c r="U2" i="60"/>
  <c r="E85" i="22"/>
  <c r="E86" i="22"/>
  <c r="E87" i="22"/>
  <c r="E88" i="22"/>
  <c r="E89" i="22"/>
  <c r="E90" i="22"/>
  <c r="E91" i="22"/>
  <c r="E92" i="22"/>
  <c r="E84" i="22"/>
  <c r="E54" i="22"/>
  <c r="E55" i="22"/>
  <c r="E56" i="22"/>
  <c r="E57" i="22"/>
  <c r="E58" i="22"/>
  <c r="E59" i="22"/>
  <c r="E60" i="22"/>
  <c r="E61" i="22"/>
  <c r="E62" i="22"/>
  <c r="E53" i="22"/>
  <c r="L21" i="53" l="1"/>
  <c r="K5" i="50"/>
  <c r="C24" i="65" l="1"/>
  <c r="N29" i="65"/>
  <c r="N11" i="65" l="1"/>
  <c r="H22" i="22" l="1"/>
  <c r="H21" i="22"/>
  <c r="H20" i="22"/>
  <c r="H19" i="22"/>
  <c r="H18" i="22"/>
  <c r="H17" i="22"/>
  <c r="H16" i="22"/>
  <c r="H15" i="22"/>
  <c r="H14" i="22"/>
  <c r="H13" i="22"/>
  <c r="H12" i="22"/>
  <c r="H11" i="22"/>
  <c r="H10" i="22"/>
  <c r="H9" i="22"/>
  <c r="H8" i="22"/>
  <c r="F22" i="22"/>
  <c r="F13" i="22"/>
  <c r="AN11" i="53"/>
  <c r="AN12" i="53"/>
  <c r="AN13" i="53"/>
  <c r="AN14" i="53"/>
  <c r="AN15" i="53"/>
  <c r="AN16" i="53"/>
  <c r="AN17" i="53"/>
  <c r="AN18" i="53"/>
  <c r="AN19" i="53"/>
  <c r="AN20" i="53"/>
  <c r="AN21" i="53"/>
  <c r="E2" i="68"/>
  <c r="E3" i="68"/>
  <c r="E4" i="68"/>
  <c r="E5" i="68"/>
  <c r="P6" i="21"/>
  <c r="P5" i="21"/>
  <c r="AB11" i="53"/>
  <c r="AC11" i="53"/>
  <c r="AD11" i="53"/>
  <c r="AB12" i="53"/>
  <c r="AC12" i="53"/>
  <c r="AD12" i="53"/>
  <c r="AB13" i="53"/>
  <c r="AC13" i="53"/>
  <c r="AD13" i="53"/>
  <c r="AB14" i="53"/>
  <c r="AC14" i="53"/>
  <c r="AD14" i="53"/>
  <c r="AB15" i="53"/>
  <c r="AC15" i="53"/>
  <c r="AD15" i="53"/>
  <c r="AB16" i="53"/>
  <c r="AC16" i="53"/>
  <c r="AD16" i="53"/>
  <c r="AB17" i="53"/>
  <c r="AC17" i="53"/>
  <c r="AD17" i="53"/>
  <c r="AB18" i="53"/>
  <c r="AC18" i="53"/>
  <c r="AD18" i="53"/>
  <c r="AB19" i="53"/>
  <c r="AC19" i="53"/>
  <c r="AD19" i="53"/>
  <c r="AB20" i="53"/>
  <c r="AC20" i="53"/>
  <c r="AD20" i="53"/>
  <c r="AB21" i="53"/>
  <c r="AC21" i="53"/>
  <c r="AD21" i="53"/>
  <c r="U11" i="53"/>
  <c r="V11" i="53"/>
  <c r="W11" i="53"/>
  <c r="U12" i="53"/>
  <c r="V12" i="53"/>
  <c r="W12" i="53"/>
  <c r="U13" i="53"/>
  <c r="V13" i="53"/>
  <c r="W13" i="53"/>
  <c r="U14" i="53"/>
  <c r="V14" i="53"/>
  <c r="W14" i="53"/>
  <c r="U15" i="53"/>
  <c r="V15" i="53"/>
  <c r="W15" i="53"/>
  <c r="U16" i="53"/>
  <c r="V16" i="53"/>
  <c r="W16" i="53"/>
  <c r="U17" i="53"/>
  <c r="V17" i="53"/>
  <c r="W17" i="53"/>
  <c r="U18" i="53"/>
  <c r="V18" i="53"/>
  <c r="W18" i="53"/>
  <c r="U19" i="53"/>
  <c r="V19" i="53"/>
  <c r="W19" i="53"/>
  <c r="U20" i="53"/>
  <c r="V20" i="53"/>
  <c r="W20" i="53"/>
  <c r="U21" i="53"/>
  <c r="V21" i="53"/>
  <c r="W21" i="53"/>
  <c r="N43" i="65" l="1"/>
  <c r="N42" i="65"/>
  <c r="AH17" i="39" l="1"/>
  <c r="AH18" i="39"/>
  <c r="AH19" i="39"/>
  <c r="AH20" i="39"/>
  <c r="AH21" i="39"/>
  <c r="AH22" i="39"/>
  <c r="AH23" i="39"/>
  <c r="AH24" i="39"/>
  <c r="AH25" i="39"/>
  <c r="AH26" i="39"/>
  <c r="AH27" i="39"/>
  <c r="AH28" i="39"/>
  <c r="AH29" i="39"/>
  <c r="AH30" i="39"/>
  <c r="AH14" i="39"/>
  <c r="AH16" i="39"/>
  <c r="AA11" i="53"/>
  <c r="AE11" i="53"/>
  <c r="AF11" i="53"/>
  <c r="AA12" i="53"/>
  <c r="AE12" i="53"/>
  <c r="AF12" i="53"/>
  <c r="AA13" i="53"/>
  <c r="AE13" i="53"/>
  <c r="AF13" i="53"/>
  <c r="AA14" i="53"/>
  <c r="AE14" i="53"/>
  <c r="AF14" i="53"/>
  <c r="AA15" i="53"/>
  <c r="AE15" i="53"/>
  <c r="AF15" i="53"/>
  <c r="AA16" i="53"/>
  <c r="AE16" i="53"/>
  <c r="AF16" i="53"/>
  <c r="AA17" i="53"/>
  <c r="AE17" i="53"/>
  <c r="AF17" i="53"/>
  <c r="AA18" i="53"/>
  <c r="AE18" i="53"/>
  <c r="AF18" i="53"/>
  <c r="AA19" i="53"/>
  <c r="AE19" i="53"/>
  <c r="AF19" i="53"/>
  <c r="AA20" i="53"/>
  <c r="AE20" i="53"/>
  <c r="AF20" i="53"/>
  <c r="AA21" i="53"/>
  <c r="AE21" i="53"/>
  <c r="AF21" i="53"/>
  <c r="T11" i="53"/>
  <c r="X11" i="53"/>
  <c r="Y11" i="53"/>
  <c r="T12" i="53"/>
  <c r="X12" i="53"/>
  <c r="Y12" i="53"/>
  <c r="T13" i="53"/>
  <c r="X13" i="53"/>
  <c r="Y13" i="53"/>
  <c r="T14" i="53"/>
  <c r="X14" i="53"/>
  <c r="Y14" i="53"/>
  <c r="T15" i="53"/>
  <c r="X15" i="53"/>
  <c r="Y15" i="53"/>
  <c r="T16" i="53"/>
  <c r="X16" i="53"/>
  <c r="Y16" i="53"/>
  <c r="T17" i="53"/>
  <c r="X17" i="53"/>
  <c r="Y17" i="53"/>
  <c r="T18" i="53"/>
  <c r="X18" i="53"/>
  <c r="Y18" i="53"/>
  <c r="T19" i="53"/>
  <c r="X19" i="53"/>
  <c r="Y19" i="53"/>
  <c r="T20" i="53"/>
  <c r="X20" i="53"/>
  <c r="Y20" i="53"/>
  <c r="T21" i="53"/>
  <c r="X21" i="53"/>
  <c r="Y21" i="53"/>
  <c r="L2" i="67"/>
  <c r="M2" i="67"/>
  <c r="F14" i="36" l="1"/>
  <c r="O13" i="36" s="1"/>
  <c r="P2" i="52" l="1"/>
  <c r="Q2" i="52"/>
  <c r="S2" i="52"/>
  <c r="T2" i="52"/>
  <c r="R2" i="52"/>
  <c r="O2" i="52"/>
  <c r="C113" i="64" l="1"/>
  <c r="C114" i="64"/>
  <c r="F9" i="42" l="1"/>
  <c r="E9" i="42"/>
  <c r="D12" i="15"/>
  <c r="D11" i="15"/>
  <c r="D10" i="15"/>
  <c r="D9" i="15"/>
  <c r="N31" i="65"/>
  <c r="N32" i="65"/>
  <c r="N30" i="65"/>
  <c r="F32" i="59"/>
  <c r="E25" i="65"/>
  <c r="N12" i="65"/>
  <c r="N13" i="65"/>
  <c r="F12" i="55" s="1"/>
  <c r="F86" i="22" s="1"/>
  <c r="N10" i="65"/>
  <c r="F10" i="55" s="1"/>
  <c r="F84" i="22" s="1"/>
  <c r="F11" i="55" l="1"/>
  <c r="F85" i="22" s="1"/>
  <c r="B11" i="15"/>
  <c r="B10" i="15"/>
  <c r="J12" i="15"/>
  <c r="J11" i="15"/>
  <c r="J10" i="15"/>
  <c r="J9" i="15"/>
  <c r="H12" i="15"/>
  <c r="G12" i="15"/>
  <c r="H11" i="15"/>
  <c r="G11" i="15"/>
  <c r="H10" i="15"/>
  <c r="G10" i="15"/>
  <c r="H9" i="15"/>
  <c r="G9" i="15"/>
  <c r="F12" i="15"/>
  <c r="E12" i="15"/>
  <c r="F11" i="15"/>
  <c r="E11" i="15"/>
  <c r="F10" i="15"/>
  <c r="E10" i="15"/>
  <c r="F9" i="15"/>
  <c r="E9" i="15"/>
  <c r="U11" i="39"/>
  <c r="AD12" i="39" s="1"/>
  <c r="AD10" i="39"/>
  <c r="AA10" i="39"/>
  <c r="Z10" i="39"/>
  <c r="Y10" i="39"/>
  <c r="X10" i="39"/>
  <c r="W10" i="39"/>
  <c r="V10" i="39"/>
  <c r="T9" i="39"/>
  <c r="T11" i="39" s="1"/>
  <c r="S9" i="39"/>
  <c r="S11" i="39" s="1"/>
  <c r="Z21" i="53"/>
  <c r="AH21" i="53" s="1"/>
  <c r="AI21" i="53"/>
  <c r="S21" i="53"/>
  <c r="AG21" i="53" s="1"/>
  <c r="J2" i="60"/>
  <c r="D2" i="67"/>
  <c r="C2" i="67"/>
  <c r="B2" i="67"/>
  <c r="C3" i="68"/>
  <c r="D3" i="68"/>
  <c r="C4" i="68"/>
  <c r="D4" i="68"/>
  <c r="C5" i="68"/>
  <c r="D5" i="68"/>
  <c r="C2" i="68"/>
  <c r="D2" i="68"/>
  <c r="B3" i="68"/>
  <c r="B4" i="68"/>
  <c r="B5" i="68"/>
  <c r="B2" i="68"/>
  <c r="T2" i="67"/>
  <c r="S2" i="67"/>
  <c r="R2" i="67"/>
  <c r="O2" i="67"/>
  <c r="Q2" i="67"/>
  <c r="N2" i="67"/>
  <c r="AD5" i="50"/>
  <c r="AC4" i="50"/>
  <c r="AB3" i="50"/>
  <c r="AB4" i="50"/>
  <c r="AB2" i="50"/>
  <c r="AA2" i="50"/>
  <c r="AA3" i="50"/>
  <c r="AA4" i="50"/>
  <c r="AC3" i="50"/>
  <c r="AC2" i="50"/>
  <c r="V2" i="50"/>
  <c r="R3" i="50"/>
  <c r="R4" i="50"/>
  <c r="R5" i="50"/>
  <c r="R2" i="50"/>
  <c r="Q3" i="50"/>
  <c r="Q4" i="50"/>
  <c r="Q5" i="50"/>
  <c r="Q2" i="50"/>
  <c r="P4" i="50"/>
  <c r="P5" i="50"/>
  <c r="P2" i="50"/>
  <c r="O3" i="50"/>
  <c r="O4" i="50"/>
  <c r="O5" i="50"/>
  <c r="O2" i="50"/>
  <c r="Y5" i="50"/>
  <c r="U5" i="50"/>
  <c r="S3" i="50"/>
  <c r="T3" i="50"/>
  <c r="S4" i="50"/>
  <c r="T4" i="50"/>
  <c r="V3" i="50"/>
  <c r="W3" i="50"/>
  <c r="X3" i="50"/>
  <c r="V4" i="50"/>
  <c r="W4" i="50"/>
  <c r="X4" i="50"/>
  <c r="X2" i="50"/>
  <c r="W2" i="50"/>
  <c r="T2" i="50"/>
  <c r="S2" i="50"/>
  <c r="F2" i="50"/>
  <c r="AG3" i="50"/>
  <c r="AG4" i="50"/>
  <c r="AG5" i="50"/>
  <c r="AG2" i="50"/>
  <c r="H5" i="50"/>
  <c r="N5" i="50" s="1"/>
  <c r="J11" i="65"/>
  <c r="J12" i="65"/>
  <c r="J13" i="65"/>
  <c r="J10" i="65"/>
  <c r="G3" i="50"/>
  <c r="J3" i="50"/>
  <c r="J4" i="50"/>
  <c r="I2" i="50"/>
  <c r="I4" i="50"/>
  <c r="I3" i="50"/>
  <c r="F4" i="50"/>
  <c r="F3" i="50"/>
  <c r="E5" i="50"/>
  <c r="E3" i="50"/>
  <c r="B5" i="50"/>
  <c r="B4" i="50"/>
  <c r="B3" i="50"/>
  <c r="B2" i="50"/>
  <c r="AE33" i="39" l="1"/>
  <c r="AE34" i="39"/>
  <c r="AE39" i="39"/>
  <c r="AE38" i="39"/>
  <c r="AE36" i="39"/>
  <c r="AE37" i="39"/>
  <c r="AE40" i="39"/>
  <c r="AE41" i="39"/>
  <c r="AE32" i="39"/>
  <c r="AE35" i="39"/>
  <c r="AE31" i="39"/>
  <c r="AG17" i="39"/>
  <c r="AG18" i="39"/>
  <c r="AG31" i="39"/>
  <c r="AG35" i="39"/>
  <c r="AG19" i="39"/>
  <c r="AG16" i="39"/>
  <c r="AG22" i="39"/>
  <c r="AG21" i="39"/>
  <c r="AG20" i="39"/>
  <c r="AG15" i="39"/>
  <c r="AG28" i="39"/>
  <c r="AG14" i="39"/>
  <c r="AG13" i="39"/>
  <c r="L15" i="65"/>
  <c r="E64" i="36" s="1"/>
  <c r="AG12" i="39"/>
  <c r="L3" i="50"/>
  <c r="L4" i="50"/>
  <c r="M3" i="50"/>
  <c r="L2" i="50"/>
  <c r="E2" i="50"/>
  <c r="N41" i="65"/>
  <c r="L11" i="65"/>
  <c r="N40" i="65"/>
  <c r="AD4" i="53"/>
  <c r="AD8" i="53"/>
  <c r="AD3" i="53"/>
  <c r="AD7" i="53"/>
  <c r="AD2" i="53"/>
  <c r="AD6" i="53"/>
  <c r="AD10" i="53"/>
  <c r="AD5" i="53"/>
  <c r="AD9" i="53"/>
  <c r="W2" i="53"/>
  <c r="W3" i="53"/>
  <c r="W5" i="53"/>
  <c r="W7" i="53"/>
  <c r="W9" i="53"/>
  <c r="W4" i="53"/>
  <c r="W6" i="53"/>
  <c r="W8" i="53"/>
  <c r="W10" i="53"/>
  <c r="T10" i="53"/>
  <c r="AA10" i="53"/>
  <c r="H44" i="65"/>
  <c r="D21" i="56" s="1"/>
  <c r="G44" i="65"/>
  <c r="D20" i="56" s="1"/>
  <c r="T9" i="53"/>
  <c r="T4" i="53"/>
  <c r="T6" i="53"/>
  <c r="T8" i="53"/>
  <c r="T5" i="53"/>
  <c r="T7" i="53"/>
  <c r="AA4" i="53"/>
  <c r="AA5" i="53"/>
  <c r="AA6" i="53"/>
  <c r="AA7" i="53"/>
  <c r="AA8" i="53"/>
  <c r="AA9" i="53"/>
  <c r="E4" i="50"/>
  <c r="C11" i="15"/>
  <c r="C10" i="15"/>
  <c r="C9" i="15"/>
  <c r="Z2" i="50"/>
  <c r="Z3" i="50"/>
  <c r="Z4" i="50"/>
  <c r="D44" i="65"/>
  <c r="J41" i="58"/>
  <c r="AK25" i="53" l="1"/>
  <c r="I34" i="42"/>
  <c r="H33" i="54"/>
  <c r="T64" i="59"/>
  <c r="T60" i="59"/>
  <c r="H29" i="54"/>
  <c r="I30" i="42"/>
  <c r="F15" i="55"/>
  <c r="F89" i="22" s="1"/>
  <c r="I14" i="15"/>
  <c r="J40" i="58"/>
  <c r="J42" i="58"/>
  <c r="J43" i="58"/>
  <c r="J44" i="58"/>
  <c r="C42" i="65"/>
  <c r="C41" i="65"/>
  <c r="J43" i="65"/>
  <c r="E58" i="36" s="1"/>
  <c r="N9" i="63" s="1"/>
  <c r="J42" i="65"/>
  <c r="J41" i="65"/>
  <c r="G14" i="65"/>
  <c r="D14" i="65"/>
  <c r="K13" i="65"/>
  <c r="I13" i="65"/>
  <c r="K12" i="65"/>
  <c r="I12" i="65"/>
  <c r="K11" i="65"/>
  <c r="E24" i="65"/>
  <c r="I11" i="65"/>
  <c r="F29" i="59" l="1"/>
  <c r="P3" i="50"/>
  <c r="C54" i="22" l="1"/>
  <c r="C55" i="22"/>
  <c r="C56" i="22"/>
  <c r="C57" i="22"/>
  <c r="C58" i="22"/>
  <c r="C59" i="22"/>
  <c r="C60" i="22"/>
  <c r="C61" i="22"/>
  <c r="C62" i="22"/>
  <c r="C53" i="22"/>
  <c r="B54" i="22"/>
  <c r="B55" i="22"/>
  <c r="B56" i="22"/>
  <c r="B57" i="22"/>
  <c r="B58" i="22"/>
  <c r="B59" i="22"/>
  <c r="B60" i="22"/>
  <c r="B61" i="22"/>
  <c r="B62" i="22"/>
  <c r="B53" i="22"/>
  <c r="D43" i="57"/>
  <c r="U2" i="52" l="1"/>
  <c r="L2" i="52"/>
  <c r="O2" i="60"/>
  <c r="S2" i="53" l="1"/>
  <c r="V53" i="39"/>
  <c r="V54" i="39"/>
  <c r="V55" i="39"/>
  <c r="V56" i="39"/>
  <c r="V57" i="39"/>
  <c r="V58" i="39"/>
  <c r="V59" i="39"/>
  <c r="W53" i="39"/>
  <c r="Z53" i="39" s="1"/>
  <c r="X53" i="39"/>
  <c r="AA53" i="39" s="1"/>
  <c r="AD53" i="39"/>
  <c r="W54" i="39"/>
  <c r="Z54" i="39" s="1"/>
  <c r="X54" i="39"/>
  <c r="AA54" i="39" s="1"/>
  <c r="AD54" i="39"/>
  <c r="W55" i="39"/>
  <c r="Z55" i="39" s="1"/>
  <c r="X55" i="39"/>
  <c r="AA55" i="39" s="1"/>
  <c r="AD55" i="39"/>
  <c r="W56" i="39"/>
  <c r="Z56" i="39" s="1"/>
  <c r="X56" i="39"/>
  <c r="AA56" i="39" s="1"/>
  <c r="AD56" i="39"/>
  <c r="W57" i="39"/>
  <c r="Z57" i="39" s="1"/>
  <c r="X57" i="39"/>
  <c r="AA57" i="39" s="1"/>
  <c r="AD57" i="39"/>
  <c r="W58" i="39"/>
  <c r="Z58" i="39" s="1"/>
  <c r="X58" i="39"/>
  <c r="AA58" i="39" s="1"/>
  <c r="AD58" i="39"/>
  <c r="W59" i="39"/>
  <c r="Z59" i="39" s="1"/>
  <c r="X59" i="39"/>
  <c r="AA59" i="39" s="1"/>
  <c r="AD59" i="39"/>
  <c r="V60" i="39"/>
  <c r="W60" i="39"/>
  <c r="Z60" i="39" s="1"/>
  <c r="X60" i="39"/>
  <c r="AA60" i="39" s="1"/>
  <c r="AD60" i="39"/>
  <c r="V61" i="39"/>
  <c r="W61" i="39"/>
  <c r="Z61" i="39" s="1"/>
  <c r="X61" i="39"/>
  <c r="AA61" i="39" s="1"/>
  <c r="AD61" i="39"/>
  <c r="V52" i="39"/>
  <c r="W52" i="39"/>
  <c r="AD30" i="39"/>
  <c r="X30" i="39"/>
  <c r="AA30" i="39" s="1"/>
  <c r="W30" i="39"/>
  <c r="Z30" i="39" s="1"/>
  <c r="V30" i="39"/>
  <c r="S20" i="53" s="1"/>
  <c r="AG20" i="53" s="1"/>
  <c r="AD29" i="39"/>
  <c r="X29" i="39"/>
  <c r="AA29" i="39" s="1"/>
  <c r="W29" i="39"/>
  <c r="Z29" i="39" s="1"/>
  <c r="V29" i="39"/>
  <c r="S19" i="53" s="1"/>
  <c r="AG19" i="53" s="1"/>
  <c r="AD28" i="39"/>
  <c r="X28" i="39"/>
  <c r="AA28" i="39" s="1"/>
  <c r="W28" i="39"/>
  <c r="Z28" i="39" s="1"/>
  <c r="V28" i="39"/>
  <c r="S18" i="53" s="1"/>
  <c r="AG18" i="53" s="1"/>
  <c r="AD27" i="39"/>
  <c r="X27" i="39"/>
  <c r="AA27" i="39" s="1"/>
  <c r="W27" i="39"/>
  <c r="Z27" i="39" s="1"/>
  <c r="V27" i="39"/>
  <c r="S17" i="53" s="1"/>
  <c r="AG17" i="53" s="1"/>
  <c r="AD26" i="39"/>
  <c r="X26" i="39"/>
  <c r="AA26" i="39" s="1"/>
  <c r="W26" i="39"/>
  <c r="Z26" i="39" s="1"/>
  <c r="V26" i="39"/>
  <c r="S16" i="53" s="1"/>
  <c r="AG16" i="53" s="1"/>
  <c r="AD25" i="39"/>
  <c r="X25" i="39"/>
  <c r="AA25" i="39" s="1"/>
  <c r="W25" i="39"/>
  <c r="Z25" i="39" s="1"/>
  <c r="V25" i="39"/>
  <c r="S15" i="53" s="1"/>
  <c r="AG15" i="53" s="1"/>
  <c r="AD24" i="39"/>
  <c r="X24" i="39"/>
  <c r="AA24" i="39" s="1"/>
  <c r="W24" i="39"/>
  <c r="Z24" i="39" s="1"/>
  <c r="V24" i="39"/>
  <c r="S14" i="53" s="1"/>
  <c r="AG14" i="53" s="1"/>
  <c r="AD23" i="39"/>
  <c r="X23" i="39"/>
  <c r="AA23" i="39" s="1"/>
  <c r="W23" i="39"/>
  <c r="Z23" i="39" s="1"/>
  <c r="V23" i="39"/>
  <c r="S13" i="53" s="1"/>
  <c r="AG13" i="53" s="1"/>
  <c r="AD22" i="39"/>
  <c r="X22" i="39"/>
  <c r="AA22" i="39" s="1"/>
  <c r="W22" i="39"/>
  <c r="Z22" i="39" s="1"/>
  <c r="V22" i="39"/>
  <c r="S12" i="53" s="1"/>
  <c r="AG12" i="53" s="1"/>
  <c r="AD21" i="39"/>
  <c r="X21" i="39"/>
  <c r="AA21" i="39" s="1"/>
  <c r="W21" i="39"/>
  <c r="Z21" i="39" s="1"/>
  <c r="V21" i="39"/>
  <c r="S11" i="53" s="1"/>
  <c r="AG11" i="53" s="1"/>
  <c r="AD20" i="39"/>
  <c r="X20" i="39"/>
  <c r="Y10" i="53" s="1"/>
  <c r="W20" i="39"/>
  <c r="V20" i="39"/>
  <c r="AD19" i="39"/>
  <c r="X19" i="39"/>
  <c r="W19" i="39"/>
  <c r="V19" i="39"/>
  <c r="AD18" i="39"/>
  <c r="X18" i="39"/>
  <c r="W18" i="39"/>
  <c r="V18" i="39"/>
  <c r="AD17" i="39"/>
  <c r="X17" i="39"/>
  <c r="W17" i="39"/>
  <c r="V17" i="39"/>
  <c r="AD16" i="39"/>
  <c r="X16" i="39"/>
  <c r="W16" i="39"/>
  <c r="V16" i="39"/>
  <c r="AD15" i="39"/>
  <c r="X15" i="39"/>
  <c r="W15" i="39"/>
  <c r="V15" i="39"/>
  <c r="AD14" i="39"/>
  <c r="X14" i="39"/>
  <c r="Y4" i="53" s="1"/>
  <c r="W14" i="39"/>
  <c r="V14" i="39"/>
  <c r="V13" i="39"/>
  <c r="R53" i="59" l="1"/>
  <c r="AI14" i="53"/>
  <c r="R52" i="59"/>
  <c r="AI13" i="53"/>
  <c r="R54" i="59"/>
  <c r="AI15" i="53"/>
  <c r="R56" i="59"/>
  <c r="AI17" i="53"/>
  <c r="R58" i="59"/>
  <c r="AI19" i="53"/>
  <c r="R55" i="59"/>
  <c r="AI16" i="53"/>
  <c r="R59" i="59"/>
  <c r="AI20" i="53"/>
  <c r="R57" i="59"/>
  <c r="AI18" i="53"/>
  <c r="R51" i="59"/>
  <c r="AI12" i="53"/>
  <c r="R50" i="59"/>
  <c r="AI11" i="53"/>
  <c r="G2" i="50"/>
  <c r="L10" i="65"/>
  <c r="AI4" i="53"/>
  <c r="R43" i="59"/>
  <c r="AI5" i="53"/>
  <c r="R44" i="59"/>
  <c r="AI6" i="53"/>
  <c r="R45" i="59"/>
  <c r="AI7" i="53"/>
  <c r="R46" i="59"/>
  <c r="AI8" i="53"/>
  <c r="R47" i="59"/>
  <c r="AI9" i="53"/>
  <c r="R48" i="59"/>
  <c r="AI10" i="53"/>
  <c r="R49" i="59"/>
  <c r="U4" i="53"/>
  <c r="V4" i="53"/>
  <c r="U5" i="53"/>
  <c r="V5" i="53"/>
  <c r="U6" i="53"/>
  <c r="V6" i="53"/>
  <c r="U7" i="53"/>
  <c r="V7" i="53"/>
  <c r="U8" i="53"/>
  <c r="V8" i="53"/>
  <c r="U9" i="53"/>
  <c r="V9" i="53"/>
  <c r="U10" i="53"/>
  <c r="V10" i="53"/>
  <c r="Z52" i="39"/>
  <c r="AB14" i="39"/>
  <c r="AB15" i="39"/>
  <c r="P44" i="59" s="1"/>
  <c r="AB16" i="39"/>
  <c r="P45" i="59" s="1"/>
  <c r="AB17" i="39"/>
  <c r="AB18" i="39"/>
  <c r="AB19" i="39"/>
  <c r="P48" i="59" s="1"/>
  <c r="S3" i="53"/>
  <c r="Y59" i="39"/>
  <c r="AC59" i="39" s="1"/>
  <c r="AB59" i="39"/>
  <c r="Y55" i="39"/>
  <c r="AC55" i="39" s="1"/>
  <c r="AB55" i="39"/>
  <c r="Y21" i="39"/>
  <c r="AB21" i="39"/>
  <c r="P50" i="59" s="1"/>
  <c r="Y22" i="39"/>
  <c r="AB22" i="39"/>
  <c r="P51" i="59" s="1"/>
  <c r="Y23" i="39"/>
  <c r="AB23" i="39"/>
  <c r="P52" i="59" s="1"/>
  <c r="Y24" i="39"/>
  <c r="AB24" i="39"/>
  <c r="P53" i="59" s="1"/>
  <c r="Y25" i="39"/>
  <c r="AB25" i="39"/>
  <c r="P54" i="59" s="1"/>
  <c r="Y26" i="39"/>
  <c r="AB26" i="39"/>
  <c r="P55" i="59" s="1"/>
  <c r="Y27" i="39"/>
  <c r="AB27" i="39"/>
  <c r="P56" i="59" s="1"/>
  <c r="Y28" i="39"/>
  <c r="AB28" i="39"/>
  <c r="P57" i="59" s="1"/>
  <c r="Y29" i="39"/>
  <c r="AB29" i="39"/>
  <c r="P58" i="59" s="1"/>
  <c r="Y30" i="39"/>
  <c r="AB30" i="39"/>
  <c r="P59" i="59" s="1"/>
  <c r="Y58" i="39"/>
  <c r="AC58" i="39" s="1"/>
  <c r="AB58" i="39"/>
  <c r="Y54" i="39"/>
  <c r="AC54" i="39" s="1"/>
  <c r="AB54" i="39"/>
  <c r="Y61" i="39"/>
  <c r="AC61" i="39" s="1"/>
  <c r="AB61" i="39"/>
  <c r="Y60" i="39"/>
  <c r="AC60" i="39" s="1"/>
  <c r="AB60" i="39"/>
  <c r="Y57" i="39"/>
  <c r="AC57" i="39" s="1"/>
  <c r="AB57" i="39"/>
  <c r="Y53" i="39"/>
  <c r="AC53" i="39" s="1"/>
  <c r="AB53" i="39"/>
  <c r="Y56" i="39"/>
  <c r="AC56" i="39" s="1"/>
  <c r="AB56" i="39"/>
  <c r="Z20" i="39"/>
  <c r="AB20" i="39"/>
  <c r="X10" i="53"/>
  <c r="Z14" i="39"/>
  <c r="AC4" i="53" s="1"/>
  <c r="X4" i="53"/>
  <c r="Z15" i="39"/>
  <c r="AC5" i="53" s="1"/>
  <c r="X5" i="53"/>
  <c r="Z16" i="39"/>
  <c r="AC6" i="53" s="1"/>
  <c r="X6" i="53"/>
  <c r="Z17" i="39"/>
  <c r="AC7" i="53" s="1"/>
  <c r="X7" i="53"/>
  <c r="AA15" i="39"/>
  <c r="AF5" i="53" s="1"/>
  <c r="Y5" i="53"/>
  <c r="AA16" i="39"/>
  <c r="AF6" i="53" s="1"/>
  <c r="Y6" i="53"/>
  <c r="AA17" i="39"/>
  <c r="AF7" i="53" s="1"/>
  <c r="Y7" i="53"/>
  <c r="AA18" i="39"/>
  <c r="AF8" i="53" s="1"/>
  <c r="Y8" i="53"/>
  <c r="AA19" i="39"/>
  <c r="AF9" i="53" s="1"/>
  <c r="Y9" i="53"/>
  <c r="Y17" i="39"/>
  <c r="S7" i="53"/>
  <c r="Z19" i="39"/>
  <c r="AC9" i="53" s="1"/>
  <c r="X9" i="53"/>
  <c r="Z18" i="39"/>
  <c r="X8" i="53"/>
  <c r="Y18" i="39"/>
  <c r="S8" i="53"/>
  <c r="Y19" i="39"/>
  <c r="S9" i="53"/>
  <c r="Y16" i="39"/>
  <c r="S6" i="53"/>
  <c r="Y15" i="39"/>
  <c r="S5" i="53"/>
  <c r="AA14" i="39"/>
  <c r="AF4" i="53" s="1"/>
  <c r="Y14" i="39"/>
  <c r="S4" i="53"/>
  <c r="J2" i="50"/>
  <c r="Y20" i="39"/>
  <c r="Z10" i="53" s="1"/>
  <c r="S10" i="53"/>
  <c r="AA20" i="39"/>
  <c r="AF10" i="53" s="1"/>
  <c r="AD50" i="39"/>
  <c r="AA50" i="39"/>
  <c r="Z50" i="39"/>
  <c r="X50" i="39"/>
  <c r="W50" i="39"/>
  <c r="V50" i="39"/>
  <c r="P46" i="59" l="1"/>
  <c r="AC29" i="39"/>
  <c r="Q58" i="59" s="1"/>
  <c r="Z19" i="53"/>
  <c r="AH19" i="53" s="1"/>
  <c r="AC25" i="39"/>
  <c r="Q54" i="59" s="1"/>
  <c r="Z15" i="53"/>
  <c r="AH15" i="53" s="1"/>
  <c r="AC21" i="39"/>
  <c r="Q50" i="59" s="1"/>
  <c r="Z11" i="53"/>
  <c r="AH11" i="53" s="1"/>
  <c r="AC28" i="39"/>
  <c r="Q57" i="59" s="1"/>
  <c r="Z18" i="53"/>
  <c r="AH18" i="53" s="1"/>
  <c r="AC24" i="39"/>
  <c r="Q53" i="59" s="1"/>
  <c r="Z14" i="53"/>
  <c r="AH14" i="53" s="1"/>
  <c r="AC27" i="39"/>
  <c r="Q56" i="59" s="1"/>
  <c r="Z17" i="53"/>
  <c r="AH17" i="53" s="1"/>
  <c r="AC23" i="39"/>
  <c r="Q52" i="59" s="1"/>
  <c r="Z13" i="53"/>
  <c r="AH13" i="53" s="1"/>
  <c r="AC30" i="39"/>
  <c r="Q59" i="59" s="1"/>
  <c r="Z20" i="53"/>
  <c r="AH20" i="53" s="1"/>
  <c r="AC26" i="39"/>
  <c r="Q55" i="59" s="1"/>
  <c r="Z16" i="53"/>
  <c r="AH16" i="53" s="1"/>
  <c r="AC22" i="39"/>
  <c r="Q51" i="59" s="1"/>
  <c r="Z12" i="53"/>
  <c r="AH12" i="53" s="1"/>
  <c r="P43" i="59"/>
  <c r="M2" i="50"/>
  <c r="AG5" i="53"/>
  <c r="AG10" i="53"/>
  <c r="AG4" i="53"/>
  <c r="AG9" i="53"/>
  <c r="AG7" i="53"/>
  <c r="AG6" i="53"/>
  <c r="AG8" i="53"/>
  <c r="AB10" i="53"/>
  <c r="AC10" i="53"/>
  <c r="AB8" i="53"/>
  <c r="AC8" i="53"/>
  <c r="P47" i="59"/>
  <c r="AE9" i="53"/>
  <c r="AB9" i="53"/>
  <c r="AE6" i="53"/>
  <c r="AB6" i="53"/>
  <c r="AE7" i="53"/>
  <c r="AB7" i="53"/>
  <c r="AE5" i="53"/>
  <c r="AB5" i="53"/>
  <c r="AE4" i="53"/>
  <c r="AB4" i="53"/>
  <c r="AC18" i="39"/>
  <c r="Q47" i="59" s="1"/>
  <c r="AC16" i="39"/>
  <c r="Q45" i="59" s="1"/>
  <c r="AC15" i="39"/>
  <c r="Q44" i="59" s="1"/>
  <c r="Z4" i="53"/>
  <c r="AC14" i="39"/>
  <c r="Q43" i="59" s="1"/>
  <c r="AC19" i="39"/>
  <c r="Q48" i="59" s="1"/>
  <c r="AC17" i="39"/>
  <c r="Q46" i="59" s="1"/>
  <c r="P49" i="59"/>
  <c r="AC20" i="39"/>
  <c r="AE10" i="53"/>
  <c r="Z7" i="53"/>
  <c r="AE8" i="53"/>
  <c r="Z8" i="53"/>
  <c r="Z9" i="53"/>
  <c r="Z6" i="53"/>
  <c r="Z5" i="53"/>
  <c r="Y50" i="39"/>
  <c r="Y12" i="39"/>
  <c r="Y52" i="39"/>
  <c r="AF52" i="39" s="1"/>
  <c r="Y13" i="39"/>
  <c r="AL7" i="53"/>
  <c r="AL8" i="53"/>
  <c r="AL9" i="53"/>
  <c r="AL10" i="53"/>
  <c r="AL11" i="53"/>
  <c r="AL12" i="53"/>
  <c r="AL13" i="53"/>
  <c r="AL14" i="53"/>
  <c r="AL15" i="53"/>
  <c r="AL16" i="53"/>
  <c r="AL17" i="53"/>
  <c r="AL18" i="53"/>
  <c r="AL19" i="53"/>
  <c r="AL20" i="53"/>
  <c r="AH6" i="53" l="1"/>
  <c r="AH10" i="53"/>
  <c r="AH4" i="53"/>
  <c r="AH5" i="53"/>
  <c r="AH9" i="53"/>
  <c r="AH7" i="53"/>
  <c r="AH8" i="53"/>
  <c r="Z3" i="53"/>
  <c r="Z2" i="53"/>
  <c r="Q49" i="59"/>
  <c r="C77" i="64"/>
  <c r="C76" i="64"/>
  <c r="C75" i="64"/>
  <c r="C74" i="64"/>
  <c r="C73" i="64"/>
  <c r="B72" i="64"/>
  <c r="C145" i="64"/>
  <c r="C70" i="64"/>
  <c r="B144" i="64"/>
  <c r="C69" i="64"/>
  <c r="C68" i="64"/>
  <c r="C142" i="64"/>
  <c r="C67" i="64"/>
  <c r="C141" i="64"/>
  <c r="C66" i="64"/>
  <c r="C140" i="64"/>
  <c r="C65" i="64"/>
  <c r="C139" i="64"/>
  <c r="B64" i="64"/>
  <c r="C138" i="64"/>
  <c r="C137" i="64"/>
  <c r="C62" i="64"/>
  <c r="C136" i="64"/>
  <c r="C61" i="64"/>
  <c r="C135" i="64"/>
  <c r="C60" i="64"/>
  <c r="C134" i="64"/>
  <c r="C59" i="64"/>
  <c r="C133" i="64"/>
  <c r="C58" i="64"/>
  <c r="C132" i="64"/>
  <c r="C57" i="64"/>
  <c r="B131" i="64"/>
  <c r="B56" i="64"/>
  <c r="C129" i="64"/>
  <c r="C54" i="64"/>
  <c r="C128" i="64"/>
  <c r="C53" i="64"/>
  <c r="C126" i="64"/>
  <c r="C52" i="64"/>
  <c r="C125" i="64"/>
  <c r="C51" i="64"/>
  <c r="C124" i="64"/>
  <c r="C50" i="64"/>
  <c r="C123" i="64"/>
  <c r="C49" i="64"/>
  <c r="C122" i="64"/>
  <c r="C48" i="64"/>
  <c r="C121" i="64"/>
  <c r="B47" i="64"/>
  <c r="C120" i="64"/>
  <c r="B119" i="64"/>
  <c r="C45" i="64"/>
  <c r="C44" i="64"/>
  <c r="C117" i="64"/>
  <c r="C43" i="64"/>
  <c r="C116" i="64"/>
  <c r="C42" i="64"/>
  <c r="C115" i="64"/>
  <c r="C41" i="64"/>
  <c r="C112" i="64"/>
  <c r="C40" i="64"/>
  <c r="B111" i="64"/>
  <c r="C39" i="64"/>
  <c r="C37" i="64"/>
  <c r="C109" i="64"/>
  <c r="C36" i="64"/>
  <c r="C108" i="64"/>
  <c r="C35" i="64"/>
  <c r="C107" i="64"/>
  <c r="C34" i="64"/>
  <c r="C106" i="64"/>
  <c r="C33" i="64"/>
  <c r="C105" i="64"/>
  <c r="B32" i="64"/>
  <c r="C104" i="64"/>
  <c r="B103" i="64"/>
  <c r="C30" i="64"/>
  <c r="C29" i="64"/>
  <c r="C101" i="64"/>
  <c r="C28" i="64"/>
  <c r="C100" i="64"/>
  <c r="C27" i="64"/>
  <c r="C99" i="64"/>
  <c r="C26" i="64"/>
  <c r="C98" i="64"/>
  <c r="C25" i="64"/>
  <c r="C97" i="64"/>
  <c r="C24" i="64"/>
  <c r="C96" i="64"/>
  <c r="C23" i="64"/>
  <c r="C95" i="64"/>
  <c r="C22" i="64"/>
  <c r="C94" i="64"/>
  <c r="B21" i="64"/>
  <c r="C93" i="64"/>
  <c r="C92" i="64"/>
  <c r="C19" i="64"/>
  <c r="C91" i="64"/>
  <c r="C18" i="64"/>
  <c r="C90" i="64"/>
  <c r="C17" i="64"/>
  <c r="C89" i="64"/>
  <c r="C16" i="64"/>
  <c r="C88" i="64"/>
  <c r="C15" i="64"/>
  <c r="C87" i="64"/>
  <c r="C14" i="64"/>
  <c r="C86" i="64"/>
  <c r="B13" i="64"/>
  <c r="C85" i="64"/>
  <c r="C84" i="64"/>
  <c r="C11" i="64"/>
  <c r="C83" i="64"/>
  <c r="C10" i="64"/>
  <c r="C82" i="64"/>
  <c r="C9" i="64"/>
  <c r="C81" i="64"/>
  <c r="C8" i="64"/>
  <c r="C80" i="64"/>
  <c r="C7" i="64"/>
  <c r="AH13" i="39" s="1"/>
  <c r="B79" i="64"/>
  <c r="B6" i="64"/>
  <c r="J14" i="39"/>
  <c r="AH12" i="39" l="1"/>
  <c r="AL2" i="53" s="1"/>
  <c r="AH31" i="39"/>
  <c r="AL21" i="53" s="1"/>
  <c r="AM21" i="53" s="1"/>
  <c r="AH15" i="39"/>
  <c r="AL5" i="53" s="1"/>
  <c r="AL6" i="53"/>
  <c r="AL3" i="53"/>
  <c r="AL4" i="53"/>
  <c r="E41" i="59" l="1"/>
  <c r="K3" i="63" l="1"/>
  <c r="K4" i="63"/>
  <c r="K5" i="63"/>
  <c r="K6" i="63"/>
  <c r="K7" i="63"/>
  <c r="K8" i="63"/>
  <c r="K2" i="63"/>
  <c r="B12" i="63"/>
  <c r="B13" i="63"/>
  <c r="B11" i="63"/>
  <c r="I7" i="63"/>
  <c r="I8" i="63"/>
  <c r="I3" i="63"/>
  <c r="I4" i="63"/>
  <c r="I5" i="63"/>
  <c r="I6" i="63"/>
  <c r="I2" i="63"/>
  <c r="M3" i="63"/>
  <c r="M4" i="63"/>
  <c r="M2" i="63"/>
  <c r="H7" i="63"/>
  <c r="G8" i="63"/>
  <c r="H8" i="63"/>
  <c r="G3" i="63"/>
  <c r="H3" i="63"/>
  <c r="G4" i="63"/>
  <c r="H4" i="63"/>
  <c r="G5" i="63"/>
  <c r="H5" i="63"/>
  <c r="G6" i="63"/>
  <c r="H6" i="63"/>
  <c r="G7" i="63"/>
  <c r="G2" i="63"/>
  <c r="H2" i="63"/>
  <c r="E6" i="63"/>
  <c r="F6" i="63"/>
  <c r="E7" i="63"/>
  <c r="F7" i="63"/>
  <c r="E8" i="63"/>
  <c r="E3" i="63"/>
  <c r="E4" i="63"/>
  <c r="E5" i="63"/>
  <c r="E2" i="63"/>
  <c r="D6" i="63"/>
  <c r="C7" i="63"/>
  <c r="D7" i="63"/>
  <c r="C8" i="63"/>
  <c r="D8" i="63"/>
  <c r="C12" i="63"/>
  <c r="C3" i="63"/>
  <c r="D3" i="63"/>
  <c r="C4" i="63"/>
  <c r="D4" i="63"/>
  <c r="C5" i="63"/>
  <c r="D5" i="63"/>
  <c r="C6" i="63"/>
  <c r="D2" i="63"/>
  <c r="C2" i="63"/>
  <c r="D59" i="59" l="1"/>
  <c r="D58" i="59"/>
  <c r="D57" i="59"/>
  <c r="D56" i="59"/>
  <c r="D55" i="59"/>
  <c r="D54" i="59"/>
  <c r="D53" i="59"/>
  <c r="D52" i="59"/>
  <c r="D51" i="59"/>
  <c r="D50" i="59"/>
  <c r="D49" i="59"/>
  <c r="D48" i="59"/>
  <c r="D47" i="59"/>
  <c r="D46" i="59"/>
  <c r="D45" i="59"/>
  <c r="D44" i="59"/>
  <c r="D43" i="59"/>
  <c r="D42" i="59"/>
  <c r="D41" i="59"/>
  <c r="E43" i="59"/>
  <c r="F20" i="36" l="1"/>
  <c r="F5" i="63" s="1"/>
  <c r="F26" i="36"/>
  <c r="F8" i="63" s="1"/>
  <c r="I59" i="36"/>
  <c r="P10" i="63" s="1"/>
  <c r="I60" i="36"/>
  <c r="P11" i="63" s="1"/>
  <c r="I61" i="36"/>
  <c r="P12" i="63" s="1"/>
  <c r="I62" i="36"/>
  <c r="P13" i="63" s="1"/>
  <c r="I58" i="36"/>
  <c r="P9" i="63" s="1"/>
  <c r="L59" i="36"/>
  <c r="L60" i="36"/>
  <c r="L61" i="36"/>
  <c r="L62" i="36"/>
  <c r="L4" i="21" l="1"/>
  <c r="L5" i="21"/>
  <c r="J41" i="59" l="1"/>
  <c r="J60" i="39"/>
  <c r="B3" i="53"/>
  <c r="B4" i="53"/>
  <c r="B5" i="53"/>
  <c r="B6" i="53"/>
  <c r="B7" i="53"/>
  <c r="B8" i="53"/>
  <c r="B9" i="53"/>
  <c r="B10" i="53"/>
  <c r="B11" i="53"/>
  <c r="B12" i="53"/>
  <c r="B13" i="53"/>
  <c r="B14" i="53"/>
  <c r="B15" i="53"/>
  <c r="B16" i="53"/>
  <c r="B17" i="53"/>
  <c r="B18" i="53"/>
  <c r="B19" i="53"/>
  <c r="B20" i="53"/>
  <c r="B2" i="53"/>
  <c r="C2" i="53"/>
  <c r="H11" i="62"/>
  <c r="I11" i="62"/>
  <c r="J11" i="62"/>
  <c r="H2" i="62"/>
  <c r="I2" i="62"/>
  <c r="J2" i="62"/>
  <c r="H3" i="62"/>
  <c r="I3" i="62"/>
  <c r="H4" i="62"/>
  <c r="I4" i="62"/>
  <c r="J4" i="62"/>
  <c r="H5" i="62"/>
  <c r="I5" i="62"/>
  <c r="J5" i="62"/>
  <c r="H6" i="62"/>
  <c r="I6" i="62"/>
  <c r="J6" i="62"/>
  <c r="H7" i="62"/>
  <c r="I7" i="62"/>
  <c r="J7" i="62"/>
  <c r="H8" i="62"/>
  <c r="I8" i="62"/>
  <c r="J8" i="62"/>
  <c r="H9" i="62"/>
  <c r="I9" i="62"/>
  <c r="J9" i="62"/>
  <c r="H10" i="62"/>
  <c r="I10" i="62"/>
  <c r="J10" i="62"/>
  <c r="G3" i="53"/>
  <c r="G4" i="53"/>
  <c r="G5" i="53"/>
  <c r="G6" i="53"/>
  <c r="G7" i="53"/>
  <c r="G8" i="53"/>
  <c r="G9" i="53"/>
  <c r="G10" i="53"/>
  <c r="G11" i="53"/>
  <c r="G12" i="53"/>
  <c r="G13" i="53"/>
  <c r="G14" i="53"/>
  <c r="G15" i="53"/>
  <c r="G16" i="53"/>
  <c r="G17" i="53"/>
  <c r="G18" i="53"/>
  <c r="G19" i="53"/>
  <c r="G20" i="53"/>
  <c r="G21" i="53"/>
  <c r="G2" i="53"/>
  <c r="L6" i="21"/>
  <c r="L7" i="21"/>
  <c r="L8" i="21"/>
  <c r="L9" i="21"/>
  <c r="L10" i="21"/>
  <c r="L11" i="21"/>
  <c r="L12" i="21"/>
  <c r="L13" i="21"/>
  <c r="L14" i="21"/>
  <c r="L15" i="21"/>
  <c r="L16" i="21"/>
  <c r="L17" i="21"/>
  <c r="L18" i="21"/>
  <c r="L19" i="21"/>
  <c r="L20" i="21"/>
  <c r="L21" i="21"/>
  <c r="L22" i="21"/>
  <c r="L23" i="21"/>
  <c r="M23" i="21" l="1"/>
  <c r="M24" i="21"/>
  <c r="M29" i="21"/>
  <c r="M5" i="21"/>
  <c r="M9" i="21"/>
  <c r="M21" i="21"/>
  <c r="M17" i="21"/>
  <c r="M14" i="21"/>
  <c r="M10" i="21"/>
  <c r="M16" i="21"/>
  <c r="M31" i="21"/>
  <c r="M32" i="21"/>
  <c r="M22" i="21"/>
  <c r="M13" i="21"/>
  <c r="M18" i="21"/>
  <c r="M11" i="21"/>
  <c r="M4" i="21"/>
  <c r="M19" i="21"/>
  <c r="M20" i="21"/>
  <c r="M26" i="21"/>
  <c r="M6" i="21"/>
  <c r="M25" i="21"/>
  <c r="M27" i="21"/>
  <c r="M30" i="21"/>
  <c r="M33" i="21"/>
  <c r="M12" i="21"/>
  <c r="M7" i="21"/>
  <c r="M8" i="21"/>
  <c r="M15" i="21"/>
  <c r="M28" i="21"/>
  <c r="AG56" i="39"/>
  <c r="E6" i="62"/>
  <c r="AG55" i="39"/>
  <c r="E5" i="62"/>
  <c r="AG59" i="39"/>
  <c r="E9" i="62"/>
  <c r="E2" i="62"/>
  <c r="AG54" i="39"/>
  <c r="E4" i="62"/>
  <c r="AG60" i="39"/>
  <c r="E10" i="62"/>
  <c r="AG58" i="39"/>
  <c r="E8" i="62"/>
  <c r="AG61" i="39"/>
  <c r="E11" i="62"/>
  <c r="AG57" i="39"/>
  <c r="E7" i="62"/>
  <c r="AG53" i="39"/>
  <c r="E3" i="62"/>
  <c r="H10" i="56"/>
  <c r="H9" i="56"/>
  <c r="AN10" i="62"/>
  <c r="K10" i="62"/>
  <c r="O10" i="62"/>
  <c r="L10" i="62"/>
  <c r="P10" i="62"/>
  <c r="M10" i="62"/>
  <c r="Q10" i="62"/>
  <c r="N10" i="62"/>
  <c r="R10" i="62"/>
  <c r="AN8" i="62"/>
  <c r="K8" i="62"/>
  <c r="O8" i="62"/>
  <c r="L8" i="62"/>
  <c r="P8" i="62"/>
  <c r="M8" i="62"/>
  <c r="Q8" i="62"/>
  <c r="N8" i="62"/>
  <c r="R8" i="62"/>
  <c r="AN6" i="62"/>
  <c r="K6" i="62"/>
  <c r="P6" i="62"/>
  <c r="M6" i="62"/>
  <c r="Q6" i="62"/>
  <c r="N6" i="62"/>
  <c r="AN4" i="62"/>
  <c r="K4" i="62"/>
  <c r="P4" i="62"/>
  <c r="M4" i="62"/>
  <c r="Q4" i="62"/>
  <c r="N4" i="62"/>
  <c r="AN11" i="62"/>
  <c r="K11" i="62"/>
  <c r="O11" i="62"/>
  <c r="L11" i="62"/>
  <c r="P11" i="62"/>
  <c r="M11" i="62"/>
  <c r="Q11" i="62"/>
  <c r="N11" i="62"/>
  <c r="R11" i="62"/>
  <c r="AN9" i="62"/>
  <c r="K9" i="62"/>
  <c r="P9" i="62"/>
  <c r="M9" i="62"/>
  <c r="Q9" i="62"/>
  <c r="N9" i="62"/>
  <c r="AN7" i="62"/>
  <c r="K7" i="62"/>
  <c r="O7" i="62"/>
  <c r="L7" i="62"/>
  <c r="P7" i="62"/>
  <c r="M7" i="62"/>
  <c r="Q7" i="62"/>
  <c r="N7" i="62"/>
  <c r="R7" i="62"/>
  <c r="AN5" i="62"/>
  <c r="K5" i="62"/>
  <c r="P5" i="62"/>
  <c r="M5" i="62"/>
  <c r="Q5" i="62"/>
  <c r="N5" i="62"/>
  <c r="AN3" i="62"/>
  <c r="K3" i="62"/>
  <c r="P3" i="62"/>
  <c r="M3" i="62"/>
  <c r="Q3" i="62"/>
  <c r="N3" i="62"/>
  <c r="P2" i="62"/>
  <c r="N2" i="62"/>
  <c r="Q2" i="62"/>
  <c r="M2" i="62"/>
  <c r="K2" i="62"/>
  <c r="I9" i="56"/>
  <c r="I10" i="56"/>
  <c r="AF2" i="62"/>
  <c r="AE2" i="62"/>
  <c r="AA2" i="62"/>
  <c r="W2" i="62"/>
  <c r="AD2" i="62"/>
  <c r="V2" i="62"/>
  <c r="U2" i="62"/>
  <c r="AB2" i="62"/>
  <c r="AC2" i="62"/>
  <c r="AH60" i="39"/>
  <c r="AH10" i="62"/>
  <c r="U10" i="62"/>
  <c r="AB10" i="62"/>
  <c r="V10" i="62"/>
  <c r="AG10" i="62"/>
  <c r="AD10" i="62"/>
  <c r="AC10" i="62"/>
  <c r="W10" i="62"/>
  <c r="T10" i="62"/>
  <c r="AA10" i="62"/>
  <c r="X10" i="62"/>
  <c r="AE10" i="62"/>
  <c r="Y10" i="62"/>
  <c r="AF10" i="62"/>
  <c r="AH58" i="39"/>
  <c r="AH8" i="62"/>
  <c r="AC8" i="62"/>
  <c r="W8" i="62"/>
  <c r="AD8" i="62"/>
  <c r="AB8" i="62"/>
  <c r="V8" i="62"/>
  <c r="U8" i="62"/>
  <c r="AG8" i="62"/>
  <c r="AE8" i="62"/>
  <c r="AF8" i="62"/>
  <c r="X8" i="62"/>
  <c r="Y8" i="62"/>
  <c r="T8" i="62"/>
  <c r="AA8" i="62"/>
  <c r="U6" i="62"/>
  <c r="AD6" i="62"/>
  <c r="AB6" i="62"/>
  <c r="V6" i="62"/>
  <c r="AC6" i="62"/>
  <c r="W6" i="62"/>
  <c r="T6" i="62"/>
  <c r="AF6" i="62"/>
  <c r="AA6" i="62"/>
  <c r="X6" i="62"/>
  <c r="AE6" i="62"/>
  <c r="Y6" i="62"/>
  <c r="AH54" i="39"/>
  <c r="AL4" i="62" s="1"/>
  <c r="AC4" i="62"/>
  <c r="W4" i="62"/>
  <c r="AD4" i="62"/>
  <c r="AB4" i="62"/>
  <c r="U4" i="62"/>
  <c r="V4" i="62"/>
  <c r="AE4" i="62"/>
  <c r="AF4" i="62"/>
  <c r="X4" i="62"/>
  <c r="Y4" i="62"/>
  <c r="T4" i="62"/>
  <c r="AA4" i="62"/>
  <c r="AH61" i="39"/>
  <c r="AB11" i="62"/>
  <c r="V11" i="62"/>
  <c r="U11" i="62"/>
  <c r="AG11" i="62"/>
  <c r="AC11" i="62"/>
  <c r="W11" i="62"/>
  <c r="AH11" i="62"/>
  <c r="AD11" i="62"/>
  <c r="AA11" i="62"/>
  <c r="Y11" i="62"/>
  <c r="X11" i="62"/>
  <c r="AE11" i="62"/>
  <c r="T11" i="62"/>
  <c r="AF11" i="62"/>
  <c r="AH59" i="39"/>
  <c r="AL9" i="62" s="1"/>
  <c r="AD9" i="62"/>
  <c r="U9" i="62"/>
  <c r="AB9" i="62"/>
  <c r="AH9" i="62" s="1"/>
  <c r="V9" i="62"/>
  <c r="AC9" i="62"/>
  <c r="W9" i="62"/>
  <c r="AF9" i="62"/>
  <c r="Y9" i="62"/>
  <c r="AE9" i="62"/>
  <c r="X9" i="62"/>
  <c r="T9" i="62"/>
  <c r="AA9" i="62"/>
  <c r="AH57" i="39"/>
  <c r="AB7" i="62"/>
  <c r="V7" i="62"/>
  <c r="U7" i="62"/>
  <c r="AG7" i="62"/>
  <c r="AC7" i="62"/>
  <c r="W7" i="62"/>
  <c r="AH7" i="62"/>
  <c r="AD7" i="62"/>
  <c r="AA7" i="62"/>
  <c r="Y7" i="62"/>
  <c r="AE7" i="62"/>
  <c r="T7" i="62"/>
  <c r="AF7" i="62"/>
  <c r="X7" i="62"/>
  <c r="AH55" i="39"/>
  <c r="AL5" i="62" s="1"/>
  <c r="AD5" i="62"/>
  <c r="U5" i="62"/>
  <c r="W5" i="62"/>
  <c r="AB5" i="62"/>
  <c r="V5" i="62"/>
  <c r="AC5" i="62"/>
  <c r="AF5" i="62"/>
  <c r="Y5" i="62"/>
  <c r="X5" i="62"/>
  <c r="AE5" i="62"/>
  <c r="AA5" i="62"/>
  <c r="T5" i="62"/>
  <c r="AH53" i="39"/>
  <c r="AL3" i="62" s="1"/>
  <c r="AB3" i="62"/>
  <c r="V3" i="62"/>
  <c r="U3" i="62"/>
  <c r="AC3" i="62"/>
  <c r="W3" i="62"/>
  <c r="AD3" i="62"/>
  <c r="AA3" i="62"/>
  <c r="Y3" i="62"/>
  <c r="AE3" i="62"/>
  <c r="T3" i="62"/>
  <c r="X3" i="62"/>
  <c r="AF3" i="62"/>
  <c r="T2" i="62"/>
  <c r="X2" i="62"/>
  <c r="G6" i="56"/>
  <c r="H6" i="56" s="1"/>
  <c r="F3" i="56"/>
  <c r="F7" i="56"/>
  <c r="G3" i="56"/>
  <c r="G7" i="56"/>
  <c r="F4" i="56"/>
  <c r="G4" i="56"/>
  <c r="F5" i="56"/>
  <c r="F2" i="56"/>
  <c r="G5" i="56"/>
  <c r="G2" i="56"/>
  <c r="F6" i="56"/>
  <c r="AH56" i="39"/>
  <c r="AL6" i="62" s="1"/>
  <c r="AH52" i="39"/>
  <c r="AL2" i="62" s="1"/>
  <c r="F8" i="56"/>
  <c r="AF60" i="39"/>
  <c r="AF58" i="39"/>
  <c r="AF61" i="39"/>
  <c r="AF59" i="39"/>
  <c r="AF57" i="39"/>
  <c r="AI10" i="62"/>
  <c r="Z10" i="62"/>
  <c r="S10" i="62"/>
  <c r="Z8" i="62"/>
  <c r="S8" i="62"/>
  <c r="AI8" i="62"/>
  <c r="AI6" i="62"/>
  <c r="Z6" i="62"/>
  <c r="S6" i="62"/>
  <c r="Z4" i="62"/>
  <c r="S4" i="62"/>
  <c r="AI4" i="62"/>
  <c r="AI11" i="62"/>
  <c r="Z11" i="62"/>
  <c r="S11" i="62"/>
  <c r="S9" i="62"/>
  <c r="AG9" i="62" s="1"/>
  <c r="AI9" i="62"/>
  <c r="Z9" i="62"/>
  <c r="AI7" i="62"/>
  <c r="Z7" i="62"/>
  <c r="S7" i="62"/>
  <c r="S5" i="62"/>
  <c r="AI5" i="62"/>
  <c r="Z5" i="62"/>
  <c r="AI3" i="62"/>
  <c r="Z3" i="62"/>
  <c r="S3" i="62"/>
  <c r="Z2" i="62"/>
  <c r="S2" i="62"/>
  <c r="AL10" i="62"/>
  <c r="AL8" i="62"/>
  <c r="AL11" i="62"/>
  <c r="AL7" i="62"/>
  <c r="N12" i="39"/>
  <c r="Q12" i="39"/>
  <c r="R2" i="53" s="1"/>
  <c r="N13" i="39"/>
  <c r="N14" i="39"/>
  <c r="N15" i="39"/>
  <c r="N16" i="39"/>
  <c r="O6" i="53" s="1"/>
  <c r="N17" i="39"/>
  <c r="O7" i="53" s="1"/>
  <c r="N18" i="39"/>
  <c r="O8" i="53" s="1"/>
  <c r="N19" i="39"/>
  <c r="O9" i="53" s="1"/>
  <c r="N20" i="39"/>
  <c r="O10" i="53" s="1"/>
  <c r="N21" i="39"/>
  <c r="N22" i="39"/>
  <c r="N23" i="39"/>
  <c r="N24" i="39"/>
  <c r="N25" i="39"/>
  <c r="N26" i="39"/>
  <c r="N27" i="39"/>
  <c r="N28" i="39"/>
  <c r="N29" i="39"/>
  <c r="N30" i="39"/>
  <c r="Q13" i="39"/>
  <c r="R3" i="53" s="1"/>
  <c r="Q14" i="39"/>
  <c r="R4" i="53" s="1"/>
  <c r="Q15" i="39"/>
  <c r="R5" i="53" s="1"/>
  <c r="Q16" i="39"/>
  <c r="R6" i="53" s="1"/>
  <c r="Q17" i="39"/>
  <c r="R7" i="53" s="1"/>
  <c r="Q18" i="39"/>
  <c r="R8" i="53" s="1"/>
  <c r="Q19" i="39"/>
  <c r="R9" i="53" s="1"/>
  <c r="Q20" i="39"/>
  <c r="R10" i="53" s="1"/>
  <c r="Q21" i="39"/>
  <c r="Q22" i="39"/>
  <c r="Q23" i="39"/>
  <c r="Q24" i="39"/>
  <c r="Q25" i="39"/>
  <c r="Q26" i="39"/>
  <c r="Q27" i="39"/>
  <c r="Q28" i="39"/>
  <c r="Q29" i="39"/>
  <c r="Q30" i="39"/>
  <c r="AG6" i="62" l="1"/>
  <c r="AH6" i="62"/>
  <c r="AG4" i="62"/>
  <c r="AG3" i="62"/>
  <c r="AH5" i="62"/>
  <c r="AG5" i="62"/>
  <c r="L7" i="53"/>
  <c r="O59" i="59"/>
  <c r="R20" i="53"/>
  <c r="L59" i="59"/>
  <c r="O20" i="53"/>
  <c r="L58" i="59"/>
  <c r="O19" i="53"/>
  <c r="O58" i="59"/>
  <c r="R19" i="53"/>
  <c r="O56" i="59"/>
  <c r="R17" i="53"/>
  <c r="L56" i="59"/>
  <c r="O17" i="53"/>
  <c r="L17" i="53" s="1"/>
  <c r="AM17" i="53" s="1"/>
  <c r="O55" i="59"/>
  <c r="R16" i="53"/>
  <c r="L55" i="59"/>
  <c r="O16" i="53"/>
  <c r="L54" i="59"/>
  <c r="O15" i="53"/>
  <c r="O54" i="59"/>
  <c r="R15" i="53"/>
  <c r="L53" i="59"/>
  <c r="O14" i="53"/>
  <c r="O53" i="59"/>
  <c r="R14" i="53"/>
  <c r="O52" i="59"/>
  <c r="R13" i="53"/>
  <c r="L52" i="59"/>
  <c r="O13" i="53"/>
  <c r="L13" i="53" s="1"/>
  <c r="AM13" i="53" s="1"/>
  <c r="L9" i="53"/>
  <c r="L8" i="53"/>
  <c r="L6" i="53"/>
  <c r="AH4" i="62"/>
  <c r="O51" i="59"/>
  <c r="R12" i="53"/>
  <c r="L51" i="59"/>
  <c r="O12" i="53"/>
  <c r="L12" i="53" s="1"/>
  <c r="AM12" i="53" s="1"/>
  <c r="R11" i="53"/>
  <c r="O11" i="53"/>
  <c r="L11" i="53" s="1"/>
  <c r="AM11" i="53" s="1"/>
  <c r="L10" i="53"/>
  <c r="O5" i="53"/>
  <c r="L5" i="53" s="1"/>
  <c r="O57" i="59"/>
  <c r="R18" i="53"/>
  <c r="L57" i="59"/>
  <c r="O18" i="53"/>
  <c r="AH3" i="62"/>
  <c r="O4" i="53"/>
  <c r="L4" i="53" s="1"/>
  <c r="AM4" i="53" s="1"/>
  <c r="O3" i="53"/>
  <c r="L3" i="53" s="1"/>
  <c r="AM3" i="53" s="1"/>
  <c r="O2" i="53"/>
  <c r="L2" i="53" s="1"/>
  <c r="AM2" i="53" s="1"/>
  <c r="L9" i="56"/>
  <c r="L10" i="56"/>
  <c r="AH2" i="62"/>
  <c r="L48" i="59"/>
  <c r="O48" i="59"/>
  <c r="AM7" i="53"/>
  <c r="AM6" i="53"/>
  <c r="AM8" i="62"/>
  <c r="AM11" i="62"/>
  <c r="AM7" i="62"/>
  <c r="AM10" i="62"/>
  <c r="I42" i="59"/>
  <c r="J42" i="59"/>
  <c r="K42" i="59"/>
  <c r="M42" i="59"/>
  <c r="N42" i="59"/>
  <c r="I43" i="59"/>
  <c r="J43" i="59"/>
  <c r="K43" i="59"/>
  <c r="M43" i="59"/>
  <c r="N43" i="59"/>
  <c r="I44" i="59"/>
  <c r="J44" i="59"/>
  <c r="K44" i="59"/>
  <c r="M44" i="59"/>
  <c r="N44" i="59"/>
  <c r="I45" i="59"/>
  <c r="J45" i="59"/>
  <c r="K45" i="59"/>
  <c r="M45" i="59"/>
  <c r="N45" i="59"/>
  <c r="I46" i="59"/>
  <c r="J46" i="59"/>
  <c r="K46" i="59"/>
  <c r="M46" i="59"/>
  <c r="N46" i="59"/>
  <c r="I47" i="59"/>
  <c r="J47" i="59"/>
  <c r="K47" i="59"/>
  <c r="M47" i="59"/>
  <c r="N47" i="59"/>
  <c r="I48" i="59"/>
  <c r="J48" i="59"/>
  <c r="K48" i="59"/>
  <c r="M48" i="59"/>
  <c r="N48" i="59"/>
  <c r="I49" i="59"/>
  <c r="J49" i="59"/>
  <c r="K49" i="59"/>
  <c r="M49" i="59"/>
  <c r="N49" i="59"/>
  <c r="I50" i="59"/>
  <c r="J50" i="59"/>
  <c r="K50" i="59"/>
  <c r="M50" i="59"/>
  <c r="N50" i="59"/>
  <c r="I51" i="59"/>
  <c r="J51" i="59"/>
  <c r="K51" i="59"/>
  <c r="M51" i="59"/>
  <c r="N51" i="59"/>
  <c r="I52" i="59"/>
  <c r="J52" i="59"/>
  <c r="K52" i="59"/>
  <c r="M52" i="59"/>
  <c r="N52" i="59"/>
  <c r="I53" i="59"/>
  <c r="J53" i="59"/>
  <c r="K53" i="59"/>
  <c r="M53" i="59"/>
  <c r="N53" i="59"/>
  <c r="I54" i="59"/>
  <c r="J54" i="59"/>
  <c r="K54" i="59"/>
  <c r="M54" i="59"/>
  <c r="N54" i="59"/>
  <c r="I55" i="59"/>
  <c r="J55" i="59"/>
  <c r="K55" i="59"/>
  <c r="M55" i="59"/>
  <c r="N55" i="59"/>
  <c r="I56" i="59"/>
  <c r="J56" i="59"/>
  <c r="K56" i="59"/>
  <c r="M56" i="59"/>
  <c r="N56" i="59"/>
  <c r="I57" i="59"/>
  <c r="J57" i="59"/>
  <c r="K57" i="59"/>
  <c r="M57" i="59"/>
  <c r="N57" i="59"/>
  <c r="I58" i="59"/>
  <c r="J58" i="59"/>
  <c r="K58" i="59"/>
  <c r="M58" i="59"/>
  <c r="N58" i="59"/>
  <c r="I59" i="59"/>
  <c r="J59" i="59"/>
  <c r="K59" i="59"/>
  <c r="M59" i="59"/>
  <c r="N59" i="59"/>
  <c r="N41" i="59"/>
  <c r="M41" i="59"/>
  <c r="K41" i="59"/>
  <c r="E42" i="59"/>
  <c r="E44" i="59"/>
  <c r="E45" i="59"/>
  <c r="E46" i="59"/>
  <c r="E47" i="59"/>
  <c r="E48" i="59"/>
  <c r="E49" i="59"/>
  <c r="E50" i="59"/>
  <c r="E51" i="59"/>
  <c r="E52" i="59"/>
  <c r="E53" i="59"/>
  <c r="E54" i="59"/>
  <c r="E55" i="59"/>
  <c r="E56" i="59"/>
  <c r="E57" i="59"/>
  <c r="E58" i="59"/>
  <c r="E59" i="59"/>
  <c r="U49" i="39"/>
  <c r="J54" i="39"/>
  <c r="J55" i="39"/>
  <c r="J56" i="39"/>
  <c r="J57" i="39"/>
  <c r="J58" i="39"/>
  <c r="J59" i="39"/>
  <c r="J61" i="39"/>
  <c r="L20" i="53" l="1"/>
  <c r="AM20" i="53" s="1"/>
  <c r="L16" i="53"/>
  <c r="AM16" i="53" s="1"/>
  <c r="L19" i="53"/>
  <c r="AM19" i="53" s="1"/>
  <c r="L18" i="53"/>
  <c r="AM18" i="53" s="1"/>
  <c r="L15" i="53"/>
  <c r="AM15" i="53" s="1"/>
  <c r="L14" i="53"/>
  <c r="AM14" i="53" s="1"/>
  <c r="AM10" i="53"/>
  <c r="AM8" i="53"/>
  <c r="AM9" i="53"/>
  <c r="AM5" i="53"/>
  <c r="Q57" i="39"/>
  <c r="N57" i="39"/>
  <c r="N59" i="39"/>
  <c r="Q59" i="39"/>
  <c r="Q56" i="39"/>
  <c r="R6" i="62" s="1"/>
  <c r="N56" i="39"/>
  <c r="Q52" i="39"/>
  <c r="O70" i="59" s="1"/>
  <c r="L70" i="59"/>
  <c r="Q61" i="39"/>
  <c r="N61" i="39"/>
  <c r="Q60" i="39"/>
  <c r="N60" i="39"/>
  <c r="N55" i="39"/>
  <c r="Q55" i="39"/>
  <c r="O47" i="59" s="1"/>
  <c r="Q53" i="39"/>
  <c r="N53" i="39"/>
  <c r="L65" i="59" s="1"/>
  <c r="Q58" i="39"/>
  <c r="N58" i="39"/>
  <c r="Q54" i="39"/>
  <c r="N54" i="39"/>
  <c r="L66" i="59" s="1"/>
  <c r="D2" i="62"/>
  <c r="F2" i="62"/>
  <c r="C2" i="62"/>
  <c r="G2" i="62"/>
  <c r="D6" i="62"/>
  <c r="F6" i="62"/>
  <c r="AK6" i="62"/>
  <c r="C6" i="62"/>
  <c r="B6" i="62" s="1"/>
  <c r="G6" i="62"/>
  <c r="F3" i="62"/>
  <c r="C3" i="62"/>
  <c r="B3" i="62" s="1"/>
  <c r="G3" i="62"/>
  <c r="D3" i="62"/>
  <c r="D10" i="62"/>
  <c r="AJ10" i="62"/>
  <c r="B10" i="62"/>
  <c r="C10" i="62"/>
  <c r="AK10" i="62"/>
  <c r="F10" i="62"/>
  <c r="G10" i="62"/>
  <c r="F5" i="62"/>
  <c r="C5" i="62"/>
  <c r="B5" i="62" s="1"/>
  <c r="G5" i="62"/>
  <c r="D5" i="62"/>
  <c r="B8" i="62"/>
  <c r="F8" i="62"/>
  <c r="AK8" i="62"/>
  <c r="C8" i="62"/>
  <c r="G8" i="62"/>
  <c r="AJ8" i="62"/>
  <c r="D8" i="62"/>
  <c r="C7" i="62"/>
  <c r="G7" i="62"/>
  <c r="D7" i="62"/>
  <c r="AJ7" i="62"/>
  <c r="F7" i="62"/>
  <c r="AK7" i="62"/>
  <c r="B7" i="62"/>
  <c r="AJ9" i="62"/>
  <c r="F9" i="62"/>
  <c r="AK9" i="62"/>
  <c r="G9" i="62"/>
  <c r="C9" i="62"/>
  <c r="B9" i="62" s="1"/>
  <c r="D9" i="62"/>
  <c r="F4" i="62"/>
  <c r="C4" i="62"/>
  <c r="G4" i="62"/>
  <c r="D4" i="62"/>
  <c r="F11" i="62"/>
  <c r="B11" i="62"/>
  <c r="C11" i="62"/>
  <c r="G11" i="62"/>
  <c r="AJ11" i="62"/>
  <c r="D11" i="62"/>
  <c r="AK11" i="62"/>
  <c r="B4" i="62" l="1"/>
  <c r="L68" i="59"/>
  <c r="O9" i="62"/>
  <c r="O68" i="59"/>
  <c r="R9" i="62"/>
  <c r="R4" i="62"/>
  <c r="O66" i="59"/>
  <c r="R3" i="62"/>
  <c r="O65" i="59"/>
  <c r="O4" i="62"/>
  <c r="L4" i="62" s="1"/>
  <c r="AM4" i="62" s="1"/>
  <c r="L47" i="59"/>
  <c r="O6" i="62"/>
  <c r="L6" i="62" s="1"/>
  <c r="AM6" i="62" s="1"/>
  <c r="R5" i="62"/>
  <c r="O50" i="59"/>
  <c r="O5" i="62"/>
  <c r="L50" i="59"/>
  <c r="B2" i="62"/>
  <c r="O3" i="62"/>
  <c r="L3" i="62" s="1"/>
  <c r="O2" i="62"/>
  <c r="O41" i="59"/>
  <c r="R2" i="62"/>
  <c r="L44" i="59"/>
  <c r="O46" i="59"/>
  <c r="L46" i="59"/>
  <c r="O44" i="59"/>
  <c r="L45" i="59"/>
  <c r="L49" i="59"/>
  <c r="O45" i="59"/>
  <c r="O49" i="59"/>
  <c r="L43" i="59"/>
  <c r="O43" i="59"/>
  <c r="L42" i="59"/>
  <c r="AK5" i="62"/>
  <c r="O42" i="59"/>
  <c r="L41" i="59"/>
  <c r="L9" i="62" l="1"/>
  <c r="AM9" i="62" s="1"/>
  <c r="L5" i="62"/>
  <c r="AM5" i="62" s="1"/>
  <c r="L2" i="62"/>
  <c r="AM2" i="62" s="1"/>
  <c r="AM3" i="62"/>
  <c r="L73" i="59"/>
  <c r="O73" i="59"/>
  <c r="O72" i="59"/>
  <c r="H11" i="59"/>
  <c r="D18" i="56" l="1"/>
  <c r="D24" i="55" l="1"/>
  <c r="D25" i="55"/>
  <c r="D26" i="55"/>
  <c r="D27" i="55"/>
  <c r="D28" i="55"/>
  <c r="D29" i="55"/>
  <c r="D30" i="55"/>
  <c r="D31" i="55"/>
  <c r="D32" i="55"/>
  <c r="D33" i="55"/>
  <c r="D34" i="55"/>
  <c r="D35" i="55"/>
  <c r="D36" i="55"/>
  <c r="D37" i="55"/>
  <c r="D38" i="55"/>
  <c r="D39" i="55"/>
  <c r="D40" i="55"/>
  <c r="D41" i="55"/>
  <c r="D23" i="55"/>
  <c r="T50" i="59"/>
  <c r="T51" i="59"/>
  <c r="T52" i="59"/>
  <c r="T53" i="59"/>
  <c r="T54" i="59"/>
  <c r="T55" i="59"/>
  <c r="T56" i="59"/>
  <c r="T57" i="59"/>
  <c r="T58" i="59"/>
  <c r="T59" i="59"/>
  <c r="N73" i="59" l="1"/>
  <c r="F31" i="59" s="1"/>
  <c r="F15" i="54"/>
  <c r="F28" i="54"/>
  <c r="F27" i="54"/>
  <c r="F26" i="54"/>
  <c r="F25" i="54"/>
  <c r="F24" i="54"/>
  <c r="F23" i="54"/>
  <c r="F22" i="54"/>
  <c r="F21" i="54"/>
  <c r="F20" i="54"/>
  <c r="F19" i="54"/>
  <c r="F18" i="54"/>
  <c r="F17" i="54"/>
  <c r="F16" i="54"/>
  <c r="F14" i="54"/>
  <c r="F13" i="54"/>
  <c r="F12" i="54"/>
  <c r="F11" i="54"/>
  <c r="F10" i="54"/>
  <c r="E28" i="54"/>
  <c r="E27" i="54"/>
  <c r="E26" i="54"/>
  <c r="E25" i="54"/>
  <c r="E24" i="54"/>
  <c r="E23" i="54"/>
  <c r="E22" i="54"/>
  <c r="E21" i="54"/>
  <c r="E20" i="54"/>
  <c r="E19" i="54"/>
  <c r="E18" i="54"/>
  <c r="E17" i="54"/>
  <c r="E16" i="54"/>
  <c r="E15" i="54"/>
  <c r="E14" i="54"/>
  <c r="E13" i="54"/>
  <c r="E12" i="54"/>
  <c r="E11" i="54"/>
  <c r="E10" i="54"/>
  <c r="N72" i="59" l="1"/>
  <c r="D19" i="56" s="1"/>
  <c r="F33" i="59"/>
  <c r="M73" i="59"/>
  <c r="F28" i="59" s="1"/>
  <c r="K2" i="60"/>
  <c r="L2" i="60"/>
  <c r="M2" i="60"/>
  <c r="N2" i="60"/>
  <c r="F42" i="57" l="1"/>
  <c r="C11" i="54"/>
  <c r="I11" i="54" s="1"/>
  <c r="C12" i="54"/>
  <c r="I12" i="54" s="1"/>
  <c r="C13" i="54"/>
  <c r="I13" i="54" s="1"/>
  <c r="C14" i="54"/>
  <c r="I14" i="54" s="1"/>
  <c r="C15" i="54"/>
  <c r="I15" i="54" s="1"/>
  <c r="C16" i="54"/>
  <c r="I16" i="54" s="1"/>
  <c r="C17" i="54"/>
  <c r="I17" i="54" s="1"/>
  <c r="C18" i="54"/>
  <c r="I18" i="54" s="1"/>
  <c r="C19" i="54"/>
  <c r="I19" i="54" s="1"/>
  <c r="C20" i="54"/>
  <c r="I20" i="54" s="1"/>
  <c r="C21" i="54"/>
  <c r="I21" i="54" s="1"/>
  <c r="C22" i="54"/>
  <c r="I22" i="54" s="1"/>
  <c r="C23" i="54"/>
  <c r="I23" i="54" s="1"/>
  <c r="C24" i="54"/>
  <c r="I24" i="54" s="1"/>
  <c r="C25" i="54"/>
  <c r="I25" i="54" s="1"/>
  <c r="C26" i="54"/>
  <c r="I26" i="54" s="1"/>
  <c r="C27" i="54"/>
  <c r="I27" i="54" s="1"/>
  <c r="C28" i="54"/>
  <c r="I28" i="54" s="1"/>
  <c r="C10" i="54"/>
  <c r="I10" i="54" s="1"/>
  <c r="E6" i="37" l="1"/>
  <c r="D6" i="37"/>
  <c r="E5" i="37"/>
  <c r="D5" i="37"/>
  <c r="E7" i="37"/>
  <c r="D7" i="37"/>
  <c r="J19" i="39" l="1"/>
  <c r="J13" i="39"/>
  <c r="J15" i="39"/>
  <c r="J16" i="39"/>
  <c r="J17" i="39"/>
  <c r="J18" i="39"/>
  <c r="J20" i="39"/>
  <c r="J21" i="39"/>
  <c r="J22" i="39"/>
  <c r="J23" i="39"/>
  <c r="J24" i="39"/>
  <c r="J25" i="39"/>
  <c r="J26" i="39"/>
  <c r="J27" i="39"/>
  <c r="J28" i="39"/>
  <c r="J29" i="39"/>
  <c r="J30" i="39"/>
  <c r="J12" i="39"/>
  <c r="H3" i="53" l="1"/>
  <c r="I3" i="53"/>
  <c r="J3" i="53"/>
  <c r="H4" i="53"/>
  <c r="I4" i="53"/>
  <c r="H5" i="53"/>
  <c r="I5" i="53"/>
  <c r="J5" i="53" s="1"/>
  <c r="H6" i="53"/>
  <c r="I6" i="53"/>
  <c r="J6" i="53"/>
  <c r="H7" i="53"/>
  <c r="I7" i="53"/>
  <c r="J7" i="53" s="1"/>
  <c r="H8" i="53"/>
  <c r="I8" i="53"/>
  <c r="J8" i="53"/>
  <c r="H9" i="53"/>
  <c r="I9" i="53"/>
  <c r="J9" i="53"/>
  <c r="H10" i="53"/>
  <c r="I10" i="53"/>
  <c r="J10" i="53"/>
  <c r="H11" i="53"/>
  <c r="I11" i="53"/>
  <c r="J11" i="53" s="1"/>
  <c r="H12" i="53"/>
  <c r="I12" i="53"/>
  <c r="J12" i="53"/>
  <c r="H13" i="53"/>
  <c r="I13" i="53"/>
  <c r="J13" i="53"/>
  <c r="H14" i="53"/>
  <c r="I14" i="53"/>
  <c r="J14" i="53"/>
  <c r="H15" i="53"/>
  <c r="I15" i="53"/>
  <c r="J15" i="53"/>
  <c r="H16" i="53"/>
  <c r="I16" i="53"/>
  <c r="J16" i="53"/>
  <c r="H17" i="53"/>
  <c r="I17" i="53"/>
  <c r="J17" i="53"/>
  <c r="H18" i="53"/>
  <c r="I18" i="53"/>
  <c r="J18" i="53"/>
  <c r="H19" i="53"/>
  <c r="I19" i="53"/>
  <c r="J19" i="53"/>
  <c r="H20" i="53"/>
  <c r="I20" i="53"/>
  <c r="J20" i="53"/>
  <c r="H21" i="53"/>
  <c r="I21" i="53"/>
  <c r="J21" i="53"/>
  <c r="I2" i="53"/>
  <c r="H2" i="53"/>
  <c r="J2" i="52"/>
  <c r="B2" i="52"/>
  <c r="F30" i="59" l="1"/>
  <c r="F34" i="59" s="1"/>
  <c r="I2" i="60" l="1"/>
  <c r="F16" i="36" l="1"/>
  <c r="O15" i="36" s="1"/>
  <c r="F3" i="63" l="1"/>
  <c r="F2" i="63"/>
  <c r="K3" i="60" l="1"/>
  <c r="Q2" i="60"/>
  <c r="K7" i="60"/>
  <c r="K8" i="60"/>
  <c r="P2" i="60"/>
  <c r="C2" i="60" l="1"/>
  <c r="F18" i="36" l="1"/>
  <c r="J20" i="36"/>
  <c r="O17" i="36" l="1"/>
  <c r="I5" i="56" s="1"/>
  <c r="F4" i="63"/>
  <c r="O19" i="36"/>
  <c r="T48" i="59"/>
  <c r="I4" i="56"/>
  <c r="K20" i="36"/>
  <c r="J18" i="36"/>
  <c r="J16" i="36"/>
  <c r="J14" i="36"/>
  <c r="J26" i="36"/>
  <c r="T42" i="59" l="1"/>
  <c r="T49" i="59"/>
  <c r="AK2" i="62"/>
  <c r="T41" i="59"/>
  <c r="T47" i="59"/>
  <c r="AK4" i="62"/>
  <c r="AK3" i="62"/>
  <c r="T45" i="59"/>
  <c r="T46" i="59"/>
  <c r="T44" i="59"/>
  <c r="T43" i="59"/>
  <c r="J24" i="36"/>
  <c r="J22" i="36"/>
  <c r="H2" i="60" l="1"/>
  <c r="F2" i="60"/>
  <c r="C3" i="53"/>
  <c r="D3" i="53"/>
  <c r="F3" i="53"/>
  <c r="C4" i="53"/>
  <c r="D4" i="53"/>
  <c r="F4" i="53"/>
  <c r="C5" i="53"/>
  <c r="D5" i="53"/>
  <c r="F5" i="53"/>
  <c r="C6" i="53"/>
  <c r="D6" i="53"/>
  <c r="F6" i="53"/>
  <c r="C7" i="53"/>
  <c r="D7" i="53"/>
  <c r="F7" i="53"/>
  <c r="C8" i="53"/>
  <c r="D8" i="53"/>
  <c r="F8" i="53"/>
  <c r="C9" i="53"/>
  <c r="D9" i="53"/>
  <c r="F9" i="53"/>
  <c r="C10" i="53"/>
  <c r="D10" i="53"/>
  <c r="F10" i="53"/>
  <c r="C11" i="53"/>
  <c r="D11" i="53"/>
  <c r="F11" i="53"/>
  <c r="C12" i="53"/>
  <c r="D12" i="53"/>
  <c r="F12" i="53"/>
  <c r="C13" i="53"/>
  <c r="D13" i="53"/>
  <c r="F13" i="53"/>
  <c r="C14" i="53"/>
  <c r="D14" i="53"/>
  <c r="F14" i="53"/>
  <c r="C15" i="53"/>
  <c r="D15" i="53"/>
  <c r="F15" i="53"/>
  <c r="C16" i="53"/>
  <c r="D16" i="53"/>
  <c r="F16" i="53"/>
  <c r="C17" i="53"/>
  <c r="D17" i="53"/>
  <c r="F17" i="53"/>
  <c r="C18" i="53"/>
  <c r="D18" i="53"/>
  <c r="F18" i="53"/>
  <c r="C19" i="53"/>
  <c r="D19" i="53"/>
  <c r="F19" i="53"/>
  <c r="C20" i="53"/>
  <c r="D20" i="53"/>
  <c r="F20" i="53"/>
  <c r="C21" i="53"/>
  <c r="D21" i="53"/>
  <c r="F21" i="53"/>
  <c r="F27" i="55" l="1"/>
  <c r="F51" i="55"/>
  <c r="F32" i="55"/>
  <c r="F44" i="55"/>
  <c r="F29" i="55"/>
  <c r="F45" i="55"/>
  <c r="F33" i="55"/>
  <c r="F34" i="55"/>
  <c r="F37" i="55"/>
  <c r="F31" i="55"/>
  <c r="F30" i="55"/>
  <c r="F39" i="55"/>
  <c r="F38" i="55"/>
  <c r="F42" i="55"/>
  <c r="F46" i="55"/>
  <c r="F40" i="55"/>
  <c r="F49" i="55"/>
  <c r="F35" i="55"/>
  <c r="F41" i="55"/>
  <c r="F36" i="55"/>
  <c r="F43" i="55"/>
  <c r="C2" i="52"/>
  <c r="D2" i="52"/>
  <c r="E2" i="52"/>
  <c r="F2" i="52"/>
  <c r="G2" i="52"/>
  <c r="H2" i="52"/>
  <c r="I2" i="52"/>
  <c r="M2" i="52"/>
  <c r="J8" i="58" l="1"/>
  <c r="J53" i="58"/>
  <c r="K9" i="15" l="1"/>
  <c r="K12" i="15"/>
  <c r="C14" i="42"/>
  <c r="J14" i="42" s="1"/>
  <c r="C73" i="59" l="1"/>
  <c r="I73" i="59" l="1"/>
  <c r="E23" i="59" s="1"/>
  <c r="E28" i="59"/>
  <c r="K73" i="59"/>
  <c r="D16" i="56"/>
  <c r="D17" i="56"/>
  <c r="E30" i="59" l="1"/>
  <c r="R2" i="60" s="1"/>
  <c r="E31" i="59"/>
  <c r="E33" i="59" s="1"/>
  <c r="S2" i="60" s="1"/>
  <c r="J60" i="58"/>
  <c r="J61" i="58"/>
  <c r="J62" i="58"/>
  <c r="J63" i="58"/>
  <c r="J64" i="58"/>
  <c r="J65" i="58"/>
  <c r="J66" i="58"/>
  <c r="J67" i="58"/>
  <c r="J68" i="58"/>
  <c r="J69" i="58"/>
  <c r="J48" i="58"/>
  <c r="J49" i="58"/>
  <c r="J50" i="58"/>
  <c r="J51" i="58"/>
  <c r="J52" i="58"/>
  <c r="J55" i="58"/>
  <c r="J56" i="58"/>
  <c r="J36" i="58"/>
  <c r="J31" i="58"/>
  <c r="J32" i="58"/>
  <c r="J33" i="58"/>
  <c r="J34" i="58"/>
  <c r="J35" i="58"/>
  <c r="J28" i="58"/>
  <c r="J19" i="58"/>
  <c r="J20" i="58"/>
  <c r="J21" i="58"/>
  <c r="J22" i="58"/>
  <c r="J23" i="58"/>
  <c r="J24" i="58"/>
  <c r="J25" i="58"/>
  <c r="J26" i="58"/>
  <c r="J27" i="58"/>
  <c r="J9" i="58"/>
  <c r="J10" i="58"/>
  <c r="J11" i="58"/>
  <c r="J12" i="58"/>
  <c r="J13" i="58"/>
  <c r="J14" i="58"/>
  <c r="J15" i="58"/>
  <c r="J16" i="58"/>
  <c r="J17" i="58"/>
  <c r="J18" i="58"/>
  <c r="C74" i="58"/>
  <c r="C75" i="58"/>
  <c r="C76" i="58"/>
  <c r="C77" i="58"/>
  <c r="C66" i="58"/>
  <c r="C67" i="58"/>
  <c r="C68" i="58"/>
  <c r="C69" i="58"/>
  <c r="C70" i="58"/>
  <c r="C58" i="58"/>
  <c r="C59" i="58"/>
  <c r="C60" i="58"/>
  <c r="C61" i="58"/>
  <c r="C62" i="58"/>
  <c r="C49" i="58"/>
  <c r="C50" i="58"/>
  <c r="C51" i="58"/>
  <c r="C52" i="58"/>
  <c r="C53" i="58"/>
  <c r="C54" i="58"/>
  <c r="C34" i="58"/>
  <c r="C35" i="58"/>
  <c r="C36" i="58"/>
  <c r="C37" i="58"/>
  <c r="C39" i="58"/>
  <c r="C40" i="58"/>
  <c r="C41" i="58"/>
  <c r="C42" i="58"/>
  <c r="C43" i="58"/>
  <c r="C44" i="58"/>
  <c r="C45" i="58"/>
  <c r="C8" i="58"/>
  <c r="C9" i="58"/>
  <c r="C10" i="58"/>
  <c r="C11" i="58"/>
  <c r="C23" i="58"/>
  <c r="C24" i="58"/>
  <c r="C25" i="58"/>
  <c r="C26" i="58"/>
  <c r="C27" i="58"/>
  <c r="C28" i="58"/>
  <c r="C29" i="58"/>
  <c r="C30" i="58"/>
  <c r="C15" i="58"/>
  <c r="C16" i="58"/>
  <c r="C17" i="58"/>
  <c r="C18" i="58"/>
  <c r="C19" i="58"/>
  <c r="J47" i="58"/>
  <c r="E2" i="53" s="1"/>
  <c r="J59" i="58"/>
  <c r="J72" i="58"/>
  <c r="C14" i="58"/>
  <c r="C22" i="58"/>
  <c r="C33" i="58"/>
  <c r="C48" i="58"/>
  <c r="C57" i="58"/>
  <c r="C65" i="58"/>
  <c r="C73" i="58"/>
  <c r="J7" i="58"/>
  <c r="J39" i="58"/>
  <c r="B21" i="58"/>
  <c r="B32" i="58"/>
  <c r="B47" i="58"/>
  <c r="B56" i="58"/>
  <c r="B64" i="58"/>
  <c r="B72" i="58"/>
  <c r="I6" i="58"/>
  <c r="I30" i="58"/>
  <c r="I38" i="58"/>
  <c r="I46" i="58"/>
  <c r="I58" i="58"/>
  <c r="I71" i="58"/>
  <c r="B13" i="58"/>
  <c r="C7" i="58"/>
  <c r="B6" i="58"/>
  <c r="E34" i="59" l="1"/>
  <c r="C29" i="42"/>
  <c r="J29" i="42" s="1"/>
  <c r="C28" i="42"/>
  <c r="J28" i="42" s="1"/>
  <c r="C27" i="42"/>
  <c r="J27" i="42" s="1"/>
  <c r="C26" i="42"/>
  <c r="J26" i="42" s="1"/>
  <c r="C25" i="42"/>
  <c r="J25" i="42" s="1"/>
  <c r="C24" i="42"/>
  <c r="J24" i="42" s="1"/>
  <c r="C23" i="42"/>
  <c r="J23" i="42" s="1"/>
  <c r="C22" i="42"/>
  <c r="J22" i="42" s="1"/>
  <c r="C21" i="42"/>
  <c r="J21" i="42" s="1"/>
  <c r="C20" i="42"/>
  <c r="J20" i="42" s="1"/>
  <c r="C19" i="42"/>
  <c r="J19" i="42" s="1"/>
  <c r="C18" i="42"/>
  <c r="J18" i="42" s="1"/>
  <c r="C17" i="42"/>
  <c r="J17" i="42" s="1"/>
  <c r="C16" i="42"/>
  <c r="J16" i="42" s="1"/>
  <c r="C15" i="42"/>
  <c r="J15" i="42" s="1"/>
  <c r="C13" i="42"/>
  <c r="J13" i="42" s="1"/>
  <c r="C12" i="42"/>
  <c r="J12" i="42" s="1"/>
  <c r="C11" i="42"/>
  <c r="J11" i="42" s="1"/>
  <c r="E35" i="59" l="1"/>
  <c r="K35" i="59" s="1"/>
  <c r="Y2" i="60"/>
  <c r="T2" i="60"/>
  <c r="H27" i="54"/>
  <c r="H28" i="54"/>
  <c r="D42" i="57" l="1"/>
  <c r="C86" i="22" l="1"/>
  <c r="N26" i="65" s="1"/>
  <c r="D48" i="57"/>
  <c r="B86" i="22"/>
  <c r="N14" i="65"/>
  <c r="F13" i="55" s="1"/>
  <c r="F87" i="22" s="1"/>
  <c r="J53" i="39"/>
  <c r="K2" i="52"/>
  <c r="J4" i="53" s="1"/>
  <c r="K59" i="36"/>
  <c r="I17" i="36"/>
  <c r="K17" i="36" s="1"/>
  <c r="I19" i="36"/>
  <c r="K19" i="36" s="1"/>
  <c r="I15" i="36"/>
  <c r="K15" i="36" s="1"/>
  <c r="I13" i="36"/>
  <c r="K13" i="36" s="1"/>
  <c r="T49" i="39"/>
  <c r="S49" i="39"/>
  <c r="F42" i="42"/>
  <c r="E42" i="42"/>
  <c r="I52" i="57" l="1"/>
  <c r="F9" i="55" s="1"/>
  <c r="N24" i="65"/>
  <c r="N25" i="65"/>
  <c r="N23" i="65"/>
  <c r="F88" i="22"/>
  <c r="J2" i="53"/>
  <c r="J3" i="62"/>
  <c r="N2" i="52"/>
  <c r="E55" i="36" s="1"/>
  <c r="N6" i="63" s="1"/>
  <c r="X52" i="39" l="1"/>
  <c r="W12" i="39"/>
  <c r="T2" i="53" s="1"/>
  <c r="W13" i="39"/>
  <c r="T3" i="53" s="1"/>
  <c r="X13" i="39"/>
  <c r="Y3" i="53" s="1"/>
  <c r="X12" i="39"/>
  <c r="T51" i="39"/>
  <c r="S51" i="39"/>
  <c r="F10" i="42"/>
  <c r="E56" i="36"/>
  <c r="N7" i="63" s="1"/>
  <c r="E54" i="36"/>
  <c r="N5" i="63" s="1"/>
  <c r="G51" i="36"/>
  <c r="O2" i="63" s="1"/>
  <c r="E57" i="36"/>
  <c r="N8" i="63" s="1"/>
  <c r="G55" i="36"/>
  <c r="O6" i="63" s="1"/>
  <c r="G57" i="36"/>
  <c r="O8" i="63" s="1"/>
  <c r="E51" i="36"/>
  <c r="N2" i="63" s="1"/>
  <c r="E52" i="36"/>
  <c r="N3" i="63" s="1"/>
  <c r="E53" i="36"/>
  <c r="N4" i="63" s="1"/>
  <c r="G54" i="36"/>
  <c r="O5" i="63" s="1"/>
  <c r="G52" i="36"/>
  <c r="O3" i="63" s="1"/>
  <c r="G53" i="36"/>
  <c r="O4" i="63" s="1"/>
  <c r="G56" i="36"/>
  <c r="O7" i="63" s="1"/>
  <c r="AN3" i="53" l="1"/>
  <c r="AN7" i="53"/>
  <c r="AE12" i="39"/>
  <c r="AE58" i="39"/>
  <c r="AE54" i="39"/>
  <c r="AE27" i="39"/>
  <c r="AE23" i="39"/>
  <c r="AE19" i="39"/>
  <c r="AE15" i="39"/>
  <c r="AN4" i="53"/>
  <c r="AN8" i="53"/>
  <c r="AE61" i="39"/>
  <c r="AE57" i="39"/>
  <c r="AE52" i="39"/>
  <c r="AE30" i="39"/>
  <c r="AE26" i="39"/>
  <c r="AE22" i="39"/>
  <c r="AE18" i="39"/>
  <c r="AE14" i="39"/>
  <c r="AN2" i="62"/>
  <c r="AN5" i="53"/>
  <c r="AN9" i="53"/>
  <c r="AE60" i="39"/>
  <c r="AE56" i="39"/>
  <c r="AE53" i="39"/>
  <c r="AE29" i="39"/>
  <c r="AE25" i="39"/>
  <c r="AE21" i="39"/>
  <c r="AE17" i="39"/>
  <c r="AN2" i="53"/>
  <c r="AN6" i="53"/>
  <c r="AN10" i="53"/>
  <c r="AE59" i="39"/>
  <c r="AE55" i="39"/>
  <c r="AE13" i="39"/>
  <c r="AE28" i="39"/>
  <c r="AE24" i="39"/>
  <c r="AE20" i="39"/>
  <c r="AE16" i="39"/>
  <c r="U3" i="53"/>
  <c r="V3" i="53"/>
  <c r="U2" i="53"/>
  <c r="V2" i="53"/>
  <c r="AB52" i="39"/>
  <c r="P70" i="59" s="1"/>
  <c r="Y2" i="62"/>
  <c r="AG2" i="62" s="1"/>
  <c r="AB12" i="39"/>
  <c r="AB13" i="39"/>
  <c r="Z13" i="39"/>
  <c r="AA3" i="53" s="1"/>
  <c r="X3" i="53"/>
  <c r="X2" i="53"/>
  <c r="Y2" i="53"/>
  <c r="AA13" i="39"/>
  <c r="AF3" i="53" s="1"/>
  <c r="AA52" i="39"/>
  <c r="AF5" i="50"/>
  <c r="O25" i="36" s="1"/>
  <c r="I7" i="56" s="1"/>
  <c r="AA12" i="39"/>
  <c r="Z12" i="39"/>
  <c r="AA2" i="53" s="1"/>
  <c r="AE5" i="50"/>
  <c r="O21" i="36" s="1"/>
  <c r="I54" i="36"/>
  <c r="P5" i="63" s="1"/>
  <c r="I57" i="36"/>
  <c r="P8" i="63" s="1"/>
  <c r="I53" i="36"/>
  <c r="P4" i="63" s="1"/>
  <c r="I55" i="36"/>
  <c r="P6" i="63" s="1"/>
  <c r="I56" i="36"/>
  <c r="P7" i="63" s="1"/>
  <c r="K51" i="36"/>
  <c r="I51" i="36"/>
  <c r="P2" i="63" s="1"/>
  <c r="I52" i="36"/>
  <c r="P3" i="63" s="1"/>
  <c r="P41" i="59" l="1"/>
  <c r="AG2" i="53"/>
  <c r="AG3" i="53"/>
  <c r="AB3" i="53"/>
  <c r="AC3" i="53"/>
  <c r="AB2" i="53"/>
  <c r="AC2" i="53"/>
  <c r="P42" i="59"/>
  <c r="AC52" i="39"/>
  <c r="Q70" i="59" s="1"/>
  <c r="AC12" i="39"/>
  <c r="AE3" i="53"/>
  <c r="AC13" i="39"/>
  <c r="AF2" i="53"/>
  <c r="AE2" i="53"/>
  <c r="C12" i="15"/>
  <c r="I8" i="56"/>
  <c r="K11" i="15"/>
  <c r="K10" i="15"/>
  <c r="AK21" i="53"/>
  <c r="P72" i="59" l="1"/>
  <c r="P73" i="59"/>
  <c r="AH3" i="53"/>
  <c r="AH2" i="53"/>
  <c r="Q42" i="59"/>
  <c r="Q41" i="59"/>
  <c r="E63" i="36"/>
  <c r="O51" i="36" s="1"/>
  <c r="L58" i="36"/>
  <c r="L52" i="36"/>
  <c r="L56" i="36"/>
  <c r="L53" i="36"/>
  <c r="L57" i="36"/>
  <c r="L54" i="36"/>
  <c r="L55" i="36"/>
  <c r="L51" i="36"/>
  <c r="H18" i="54"/>
  <c r="H12" i="54"/>
  <c r="H13" i="54"/>
  <c r="H22" i="54"/>
  <c r="H15" i="54"/>
  <c r="H16" i="54"/>
  <c r="H17" i="54"/>
  <c r="H26" i="54"/>
  <c r="H19" i="54"/>
  <c r="H20" i="54"/>
  <c r="H21" i="54"/>
  <c r="H14" i="54"/>
  <c r="H23" i="54"/>
  <c r="H24" i="54"/>
  <c r="H25" i="54"/>
  <c r="H11" i="54"/>
  <c r="H10" i="54"/>
  <c r="Q73" i="59" l="1"/>
  <c r="Q72" i="59"/>
  <c r="F17" i="55"/>
  <c r="F91" i="22" s="1"/>
  <c r="G63" i="36"/>
  <c r="I63" i="36" s="1"/>
  <c r="C63" i="36"/>
  <c r="T73" i="59"/>
  <c r="E20" i="59" s="1"/>
  <c r="T72" i="59"/>
  <c r="D23" i="56" s="1"/>
  <c r="H3" i="56" l="1"/>
  <c r="D11" i="54" l="1"/>
  <c r="D12" i="54"/>
  <c r="D13" i="54"/>
  <c r="D14" i="54"/>
  <c r="D15" i="54"/>
  <c r="D16" i="54"/>
  <c r="D17" i="54"/>
  <c r="D18" i="54"/>
  <c r="D19" i="54"/>
  <c r="D20" i="54"/>
  <c r="D21" i="54"/>
  <c r="D22" i="54"/>
  <c r="D23" i="54"/>
  <c r="D24" i="54"/>
  <c r="D25" i="54"/>
  <c r="D26" i="54"/>
  <c r="D27" i="54"/>
  <c r="D28" i="54"/>
  <c r="D10" i="54"/>
  <c r="D40" i="54" l="1"/>
  <c r="F40" i="54"/>
  <c r="E40" i="54" l="1"/>
  <c r="D2" i="53" l="1"/>
  <c r="F2" i="53"/>
  <c r="AK17" i="53"/>
  <c r="AK19" i="53"/>
  <c r="AK20" i="53"/>
  <c r="E4" i="37" l="1"/>
  <c r="D4" i="37"/>
  <c r="K57" i="36" l="1"/>
  <c r="K58" i="36"/>
  <c r="I3" i="56" l="1"/>
  <c r="L3" i="56" s="1"/>
  <c r="I2" i="56"/>
  <c r="I6" i="56" l="1"/>
  <c r="K60" i="36"/>
  <c r="K61" i="36"/>
  <c r="K62" i="36"/>
  <c r="K56" i="36" l="1"/>
  <c r="K55" i="36" l="1"/>
  <c r="I9" i="15" l="1"/>
  <c r="G29" i="42"/>
  <c r="F29" i="42"/>
  <c r="E29" i="42"/>
  <c r="D29" i="42"/>
  <c r="G28" i="42"/>
  <c r="E28" i="42"/>
  <c r="D28" i="42"/>
  <c r="G27" i="42"/>
  <c r="F27" i="42"/>
  <c r="E27" i="42"/>
  <c r="D27" i="42"/>
  <c r="G26" i="42"/>
  <c r="F26" i="42"/>
  <c r="E26" i="42"/>
  <c r="D26" i="42"/>
  <c r="G25" i="42"/>
  <c r="F25" i="42"/>
  <c r="E25" i="42"/>
  <c r="D25" i="42"/>
  <c r="G24" i="42"/>
  <c r="F24" i="42"/>
  <c r="E24" i="42"/>
  <c r="D24" i="42"/>
  <c r="G23" i="42"/>
  <c r="F23" i="42"/>
  <c r="E23" i="42"/>
  <c r="D23" i="42"/>
  <c r="G22" i="42"/>
  <c r="F22" i="42"/>
  <c r="E22" i="42"/>
  <c r="D22" i="42"/>
  <c r="G21" i="42"/>
  <c r="F21" i="42"/>
  <c r="E21" i="42"/>
  <c r="D21" i="42"/>
  <c r="G20" i="42"/>
  <c r="F20" i="42"/>
  <c r="E20" i="42"/>
  <c r="D20" i="42"/>
  <c r="G19" i="42"/>
  <c r="F19" i="42"/>
  <c r="E19" i="42"/>
  <c r="D19" i="42"/>
  <c r="G18" i="42"/>
  <c r="F18" i="42"/>
  <c r="E18" i="42"/>
  <c r="D18" i="42"/>
  <c r="G17" i="42"/>
  <c r="F17" i="42"/>
  <c r="E17" i="42"/>
  <c r="D17" i="42"/>
  <c r="G16" i="42"/>
  <c r="F16" i="42"/>
  <c r="E16" i="42"/>
  <c r="D16" i="42"/>
  <c r="G15" i="42"/>
  <c r="F15" i="42"/>
  <c r="E15" i="42"/>
  <c r="D15" i="42"/>
  <c r="G14" i="42"/>
  <c r="F14" i="42"/>
  <c r="E14" i="42"/>
  <c r="D14" i="42"/>
  <c r="G13" i="42"/>
  <c r="F13" i="42"/>
  <c r="E13" i="42"/>
  <c r="D13" i="42"/>
  <c r="G12" i="42"/>
  <c r="F12" i="42"/>
  <c r="E12" i="42"/>
  <c r="D12" i="42"/>
  <c r="G11" i="42"/>
  <c r="F11" i="42"/>
  <c r="E11" i="42"/>
  <c r="D11" i="42"/>
  <c r="E44" i="65"/>
  <c r="F8" i="22"/>
  <c r="O7" i="41"/>
  <c r="O8" i="41"/>
  <c r="O9" i="41"/>
  <c r="O10" i="41"/>
  <c r="O11" i="41"/>
  <c r="O12" i="41"/>
  <c r="O13" i="41"/>
  <c r="O14" i="41"/>
  <c r="O15" i="41"/>
  <c r="O16" i="41"/>
  <c r="AD13" i="39" l="1"/>
  <c r="R42" i="59" s="1"/>
  <c r="AI2" i="53"/>
  <c r="AD52" i="39"/>
  <c r="U51" i="39"/>
  <c r="F41" i="42"/>
  <c r="E41" i="42"/>
  <c r="D41" i="42"/>
  <c r="G41" i="42"/>
  <c r="AK18" i="53"/>
  <c r="G10" i="42"/>
  <c r="AI2" i="62" l="1"/>
  <c r="R41" i="59"/>
  <c r="R73" i="59" s="1"/>
  <c r="AI3" i="53"/>
  <c r="I44" i="65"/>
  <c r="I12" i="42"/>
  <c r="AK10" i="53"/>
  <c r="AK16" i="53"/>
  <c r="AK15" i="53"/>
  <c r="AK14" i="53"/>
  <c r="AK13" i="53"/>
  <c r="AK12" i="53"/>
  <c r="I28" i="42"/>
  <c r="I26" i="42"/>
  <c r="I29" i="42"/>
  <c r="I19" i="42"/>
  <c r="I25" i="42"/>
  <c r="I23" i="42"/>
  <c r="I24" i="42"/>
  <c r="AK3" i="53"/>
  <c r="I22" i="42"/>
  <c r="I21" i="42"/>
  <c r="I27" i="42"/>
  <c r="AK6" i="53"/>
  <c r="I18" i="42"/>
  <c r="AK9" i="53"/>
  <c r="I17" i="42"/>
  <c r="AK8" i="53"/>
  <c r="I20" i="42"/>
  <c r="AK11" i="53"/>
  <c r="I13" i="42"/>
  <c r="AK4" i="53"/>
  <c r="I11" i="42"/>
  <c r="AK2" i="53"/>
  <c r="I14" i="42"/>
  <c r="AK5" i="53"/>
  <c r="I16" i="42"/>
  <c r="AK7" i="53"/>
  <c r="I15" i="42"/>
  <c r="R72" i="59" l="1"/>
  <c r="L6" i="56"/>
  <c r="H40" i="54"/>
  <c r="I41" i="42"/>
  <c r="C52" i="36" l="1"/>
  <c r="C53" i="36"/>
  <c r="C54" i="36"/>
  <c r="C51" i="36"/>
  <c r="K54" i="36"/>
  <c r="K53" i="36" l="1"/>
  <c r="G64" i="36" l="1"/>
  <c r="K52" i="36"/>
  <c r="I64" i="36" l="1"/>
  <c r="K64" i="36"/>
  <c r="F20" i="22"/>
  <c r="F19" i="22"/>
  <c r="F18" i="22"/>
  <c r="F17" i="22"/>
  <c r="F16" i="22"/>
  <c r="F14" i="22"/>
  <c r="F12" i="22"/>
  <c r="F11" i="22"/>
  <c r="F10" i="22"/>
  <c r="F9" i="22"/>
  <c r="F7" i="22"/>
  <c r="L12" i="65" l="1"/>
  <c r="L14" i="65" s="1"/>
  <c r="AF56" i="39" s="1"/>
  <c r="G4" i="50"/>
  <c r="M4" i="50" s="1"/>
  <c r="I10" i="15"/>
  <c r="I11" i="15"/>
  <c r="I12" i="15"/>
  <c r="AJ6" i="62" l="1"/>
  <c r="AF33" i="39"/>
  <c r="AF34" i="39"/>
  <c r="AF37" i="39"/>
  <c r="AF39" i="39"/>
  <c r="AF41" i="39"/>
  <c r="AF40" i="39"/>
  <c r="AF36" i="39"/>
  <c r="AF38" i="39"/>
  <c r="AF32" i="39"/>
  <c r="AF29" i="39"/>
  <c r="AF23" i="39"/>
  <c r="AF24" i="39"/>
  <c r="AF25" i="39"/>
  <c r="AF30" i="39"/>
  <c r="AF26" i="39"/>
  <c r="AF27" i="39"/>
  <c r="G25" i="54" s="1"/>
  <c r="AF31" i="39"/>
  <c r="F72" i="22" s="1"/>
  <c r="AF35" i="39"/>
  <c r="F76" i="22" s="1"/>
  <c r="AF22" i="39"/>
  <c r="F63" i="22" s="1"/>
  <c r="AF21" i="39"/>
  <c r="AF28" i="39"/>
  <c r="F69" i="22" s="1"/>
  <c r="AF54" i="39"/>
  <c r="F28" i="55" s="1"/>
  <c r="AF55" i="39"/>
  <c r="N49" i="65"/>
  <c r="F16" i="55" s="1"/>
  <c r="F90" i="22" s="1"/>
  <c r="AF53" i="39"/>
  <c r="F25" i="55" s="1"/>
  <c r="AF15" i="39"/>
  <c r="AF16" i="39"/>
  <c r="AF13" i="39"/>
  <c r="I13" i="15"/>
  <c r="AF14" i="39"/>
  <c r="F24" i="55"/>
  <c r="AF20" i="39"/>
  <c r="AF12" i="39"/>
  <c r="F23" i="55" s="1"/>
  <c r="AF19" i="39"/>
  <c r="AF18" i="39"/>
  <c r="AF17" i="39"/>
  <c r="H5" i="56"/>
  <c r="L5" i="56" s="1"/>
  <c r="E13" i="15"/>
  <c r="F13" i="15"/>
  <c r="F50" i="55"/>
  <c r="F48" i="55"/>
  <c r="F47" i="55"/>
  <c r="F52" i="55"/>
  <c r="AJ5" i="62" l="1"/>
  <c r="F26" i="55"/>
  <c r="F82" i="22"/>
  <c r="S56" i="59"/>
  <c r="F68" i="22"/>
  <c r="AJ17" i="53"/>
  <c r="H26" i="42"/>
  <c r="AJ28" i="53"/>
  <c r="S67" i="59"/>
  <c r="H37" i="42"/>
  <c r="G36" i="54"/>
  <c r="S55" i="59"/>
  <c r="F67" i="22"/>
  <c r="AJ16" i="53"/>
  <c r="G24" i="54"/>
  <c r="H25" i="42"/>
  <c r="S65" i="59"/>
  <c r="G34" i="54"/>
  <c r="AJ26" i="53"/>
  <c r="H35" i="42"/>
  <c r="F77" i="22"/>
  <c r="S59" i="59"/>
  <c r="F71" i="22"/>
  <c r="AJ20" i="53"/>
  <c r="H29" i="42"/>
  <c r="G28" i="54"/>
  <c r="S69" i="59"/>
  <c r="AJ30" i="53"/>
  <c r="G38" i="54"/>
  <c r="H39" i="42"/>
  <c r="S54" i="59"/>
  <c r="F66" i="22"/>
  <c r="AJ15" i="53"/>
  <c r="G23" i="54"/>
  <c r="H24" i="42"/>
  <c r="S70" i="59"/>
  <c r="G39" i="54"/>
  <c r="H40" i="42"/>
  <c r="AJ31" i="53"/>
  <c r="S53" i="59"/>
  <c r="F65" i="22"/>
  <c r="AJ14" i="53"/>
  <c r="H23" i="42"/>
  <c r="G22" i="54"/>
  <c r="S68" i="59"/>
  <c r="H38" i="42"/>
  <c r="G37" i="54"/>
  <c r="AJ29" i="53"/>
  <c r="S52" i="59"/>
  <c r="F64" i="22"/>
  <c r="H22" i="42"/>
  <c r="AJ13" i="53"/>
  <c r="G21" i="54"/>
  <c r="S66" i="59"/>
  <c r="G35" i="54"/>
  <c r="AJ27" i="53"/>
  <c r="H36" i="42"/>
  <c r="F78" i="22"/>
  <c r="S58" i="59"/>
  <c r="F70" i="22"/>
  <c r="AJ19" i="53"/>
  <c r="G27" i="54"/>
  <c r="H28" i="42"/>
  <c r="S63" i="59"/>
  <c r="H33" i="42"/>
  <c r="AJ24" i="53"/>
  <c r="G32" i="54"/>
  <c r="F75" i="22"/>
  <c r="S61" i="59"/>
  <c r="AJ22" i="53"/>
  <c r="H31" i="42"/>
  <c r="G30" i="54"/>
  <c r="F73" i="22"/>
  <c r="S62" i="59"/>
  <c r="AJ23" i="53"/>
  <c r="G31" i="54"/>
  <c r="H32" i="42"/>
  <c r="F74" i="22"/>
  <c r="F59" i="22"/>
  <c r="S46" i="59"/>
  <c r="F58" i="22"/>
  <c r="H7" i="56"/>
  <c r="L7" i="56" s="1"/>
  <c r="S57" i="59"/>
  <c r="AJ18" i="53"/>
  <c r="G26" i="54"/>
  <c r="H27" i="42"/>
  <c r="S50" i="59"/>
  <c r="F62" i="22"/>
  <c r="S51" i="59"/>
  <c r="AJ12" i="53"/>
  <c r="S64" i="59"/>
  <c r="G33" i="54"/>
  <c r="H34" i="42"/>
  <c r="AJ25" i="53"/>
  <c r="H30" i="42"/>
  <c r="G29" i="54"/>
  <c r="S60" i="59"/>
  <c r="AJ21" i="53"/>
  <c r="F60" i="22"/>
  <c r="H2" i="56"/>
  <c r="L2" i="56" s="1"/>
  <c r="H4" i="56"/>
  <c r="L4" i="56" s="1"/>
  <c r="G8" i="56"/>
  <c r="F53" i="22"/>
  <c r="S48" i="59"/>
  <c r="S47" i="59"/>
  <c r="AJ4" i="62"/>
  <c r="AJ3" i="62"/>
  <c r="AJ4" i="53"/>
  <c r="H14" i="42"/>
  <c r="G14" i="54"/>
  <c r="AJ2" i="53"/>
  <c r="AJ2" i="62"/>
  <c r="AJ3" i="53"/>
  <c r="E14" i="15"/>
  <c r="G18" i="54"/>
  <c r="G19" i="54"/>
  <c r="H21" i="42"/>
  <c r="G20" i="54"/>
  <c r="AJ5" i="53"/>
  <c r="AJ8" i="53"/>
  <c r="G16" i="54"/>
  <c r="AJ9" i="53"/>
  <c r="G17" i="54"/>
  <c r="AJ7" i="53"/>
  <c r="G15" i="54"/>
  <c r="H19" i="42"/>
  <c r="AJ10" i="53"/>
  <c r="H20" i="42"/>
  <c r="AJ11" i="53"/>
  <c r="H18" i="42"/>
  <c r="H17" i="42"/>
  <c r="H16" i="42"/>
  <c r="F79" i="22" l="1"/>
  <c r="F80" i="22"/>
  <c r="F81" i="22"/>
  <c r="F55" i="22"/>
  <c r="H8" i="56"/>
  <c r="L8" i="56" s="1"/>
  <c r="F61" i="22"/>
  <c r="S49" i="59"/>
  <c r="G13" i="54"/>
  <c r="H13" i="42"/>
  <c r="G12" i="54"/>
  <c r="F57" i="22"/>
  <c r="S45" i="59"/>
  <c r="H15" i="42"/>
  <c r="AJ6" i="53"/>
  <c r="F56" i="22"/>
  <c r="S44" i="59"/>
  <c r="S43" i="59"/>
  <c r="H11" i="42"/>
  <c r="H12" i="42"/>
  <c r="S42" i="59"/>
  <c r="F54" i="22"/>
  <c r="G11" i="54"/>
  <c r="S41" i="59"/>
  <c r="G10" i="54"/>
  <c r="G40" i="54" l="1"/>
  <c r="H41" i="42"/>
  <c r="S73" i="59"/>
  <c r="E19" i="59" s="1"/>
  <c r="S72" i="59"/>
  <c r="D22" i="56" s="1"/>
  <c r="F18" i="55" s="1"/>
  <c r="F92" i="22" s="1"/>
  <c r="X2" i="60" s="1"/>
  <c r="E10" i="42"/>
  <c r="E21" i="59" l="1"/>
  <c r="W2" i="60" s="1"/>
</calcChain>
</file>

<file path=xl/comments1.xml><?xml version="1.0" encoding="utf-8"?>
<comments xmlns="http://schemas.openxmlformats.org/spreadsheetml/2006/main">
  <authors>
    <author>Alice Suh</author>
  </authors>
  <commentList>
    <comment ref="F29" authorId="0">
      <text>
        <r>
          <rPr>
            <sz val="9"/>
            <color indexed="81"/>
            <rFont val="Tahoma"/>
            <family val="2"/>
          </rPr>
          <t>Tenant savings may not be underwritten if tenant consumption was modeled rather than based on whole property or sampled data.</t>
        </r>
      </text>
    </comment>
    <comment ref="F32" authorId="0">
      <text>
        <r>
          <rPr>
            <sz val="9"/>
            <color indexed="81"/>
            <rFont val="Tahoma"/>
            <family val="2"/>
          </rPr>
          <t>Tenant savings may not be underwritten if tenant consumption was modeled rather than based on whole property or sampled data.</t>
        </r>
      </text>
    </comment>
  </commentList>
</comments>
</file>

<file path=xl/comments2.xml><?xml version="1.0" encoding="utf-8"?>
<comments xmlns="http://schemas.openxmlformats.org/spreadsheetml/2006/main">
  <authors>
    <author>Alice Suh</author>
  </authors>
  <commentList>
    <comment ref="F9" authorId="0">
      <text>
        <r>
          <rPr>
            <sz val="9"/>
            <color indexed="81"/>
            <rFont val="Tahoma"/>
            <family val="2"/>
          </rPr>
          <t>For District Steam: Mlb = 1,000 lb steam</t>
        </r>
      </text>
    </comment>
    <comment ref="G9" authorId="0">
      <text>
        <r>
          <rPr>
            <b/>
            <sz val="9"/>
            <color indexed="81"/>
            <rFont val="Tahoma"/>
            <family val="2"/>
          </rPr>
          <t xml:space="preserve">If RUBS/pass-through billing scenario: 
</t>
        </r>
        <r>
          <rPr>
            <sz val="9"/>
            <color indexed="81"/>
            <rFont val="Tahoma"/>
            <family val="2"/>
          </rPr>
          <t>The total owner and tenant costs should reflect the total cost of the utility. Do not include any additional charges from the owner to tenants beyond the cost of the utility.</t>
        </r>
      </text>
    </comment>
    <comment ref="G17" authorId="0">
      <text>
        <r>
          <rPr>
            <sz val="9"/>
            <color indexed="81"/>
            <rFont val="Tahoma"/>
            <family val="2"/>
          </rPr>
          <t>Amount of electricity used by the property from renewable energy system. Do not include energy from purchased Renewable Energy Certificates (RECs).</t>
        </r>
      </text>
    </comment>
    <comment ref="D22" authorId="0">
      <text>
        <r>
          <rPr>
            <b/>
            <sz val="9"/>
            <color indexed="81"/>
            <rFont val="Tahoma"/>
            <family val="2"/>
          </rPr>
          <t>Separately metered:</t>
        </r>
        <r>
          <rPr>
            <sz val="9"/>
            <color indexed="81"/>
            <rFont val="Tahoma"/>
            <family val="2"/>
          </rPr>
          <t xml:space="preserve"> Owner and tenants have separate meters and pay individually to the utility provider
</t>
        </r>
        <r>
          <rPr>
            <b/>
            <sz val="9"/>
            <color indexed="81"/>
            <rFont val="Tahoma"/>
            <family val="2"/>
          </rPr>
          <t xml:space="preserve">Submetered: </t>
        </r>
        <r>
          <rPr>
            <sz val="9"/>
            <color indexed="81"/>
            <rFont val="Tahoma"/>
            <family val="2"/>
          </rPr>
          <t xml:space="preserve">Owner is metered for and pays for all building usage to utility, and uses third-party submeters to bill back tenants according to their actual usage
</t>
        </r>
        <r>
          <rPr>
            <b/>
            <sz val="9"/>
            <color indexed="81"/>
            <rFont val="Tahoma"/>
            <family val="2"/>
          </rPr>
          <t xml:space="preserve">
RUBS: </t>
        </r>
        <r>
          <rPr>
            <sz val="9"/>
            <color indexed="81"/>
            <rFont val="Tahoma"/>
            <family val="2"/>
          </rPr>
          <t xml:space="preserve">Owner is metered for and pays for all building usage to utility, and bills all or a portion back to tenants according to Ratio Utility Billing System and not the tenants' actual usage.
</t>
        </r>
        <r>
          <rPr>
            <b/>
            <sz val="9"/>
            <color indexed="81"/>
            <rFont val="Tahoma"/>
            <family val="2"/>
          </rPr>
          <t xml:space="preserve">Flat fee/other: </t>
        </r>
        <r>
          <rPr>
            <sz val="9"/>
            <color indexed="81"/>
            <rFont val="Tahoma"/>
            <family val="2"/>
          </rPr>
          <t>Owner is metered for and pays for all building usage to utility, and bills all or a portion back to tenants based on a fixed, equally distributed, or other fee not based on the tenants' actual usage.</t>
        </r>
      </text>
    </comment>
    <comment ref="E22" authorId="0">
      <text>
        <r>
          <rPr>
            <b/>
            <sz val="9"/>
            <color indexed="81"/>
            <rFont val="Tahoma"/>
            <family val="2"/>
          </rPr>
          <t xml:space="preserve">Model: </t>
        </r>
        <r>
          <rPr>
            <sz val="9"/>
            <color indexed="81"/>
            <rFont val="Tahoma"/>
            <family val="2"/>
          </rPr>
          <t>Tenant consumption has been simulated without using actual data</t>
        </r>
        <r>
          <rPr>
            <b/>
            <sz val="9"/>
            <color indexed="81"/>
            <rFont val="Tahoma"/>
            <family val="2"/>
          </rPr>
          <t xml:space="preserve">
Representative sample bills: </t>
        </r>
        <r>
          <rPr>
            <sz val="9"/>
            <color indexed="81"/>
            <rFont val="Tahoma"/>
            <family val="2"/>
          </rPr>
          <t>A representative sample of tenant bills was collected and scaled up to reflect total tenant consumption in accordance with Form 4099</t>
        </r>
        <r>
          <rPr>
            <b/>
            <sz val="9"/>
            <color indexed="81"/>
            <rFont val="Tahoma"/>
            <family val="2"/>
          </rPr>
          <t xml:space="preserve">
Whole property aggregate: </t>
        </r>
        <r>
          <rPr>
            <sz val="9"/>
            <color indexed="81"/>
            <rFont val="Tahoma"/>
            <family val="2"/>
          </rPr>
          <t>Actual whole property data was available from the owner or utility provider</t>
        </r>
      </text>
    </comment>
    <comment ref="D28" authorId="0">
      <text>
        <r>
          <rPr>
            <sz val="9"/>
            <color indexed="81"/>
            <rFont val="Tahoma"/>
            <family val="2"/>
          </rPr>
          <t>Select "Mixed" if a significant portion of units at the property is metered differently (e.g. owner-paid central heating in Phase 1 units, tenant-paid individual heating in Phase 2 units).</t>
        </r>
      </text>
    </comment>
    <comment ref="F28" authorId="0">
      <text>
        <r>
          <rPr>
            <sz val="9"/>
            <color indexed="81"/>
            <rFont val="Tahoma"/>
            <family val="2"/>
          </rPr>
          <t>Only enter a secondary fuel if a significant portion of units at the property is served by a fuel different from the primary fuel (e.g. gas heating in Phase 1 units, electric heating in Phase 2 units).</t>
        </r>
      </text>
    </comment>
    <comment ref="C30" authorId="0">
      <text>
        <r>
          <rPr>
            <sz val="9"/>
            <color indexed="81"/>
            <rFont val="Tahoma"/>
            <family val="2"/>
          </rPr>
          <t>Energy used to heat in-unit DHW.</t>
        </r>
      </text>
    </comment>
    <comment ref="F48" authorId="0">
      <text>
        <r>
          <rPr>
            <sz val="9"/>
            <color indexed="81"/>
            <rFont val="Tahoma"/>
            <family val="2"/>
          </rPr>
          <t>EPA Water Score and Water Use Intensity can be found on the Water Scorecard generated in Portfolio Manager.</t>
        </r>
      </text>
    </comment>
    <comment ref="G48" authorId="0">
      <text>
        <r>
          <rPr>
            <sz val="9"/>
            <color indexed="81"/>
            <rFont val="Tahoma"/>
            <family val="2"/>
          </rPr>
          <t>EPA Water Score and Water Use Intensity can be found on the Water Scorecard generated in Portfolio Manager.</t>
        </r>
      </text>
    </comment>
  </commentList>
</comments>
</file>

<file path=xl/comments3.xml><?xml version="1.0" encoding="utf-8"?>
<comments xmlns="http://schemas.openxmlformats.org/spreadsheetml/2006/main">
  <authors>
    <author>Alice Suh</author>
  </authors>
  <commentList>
    <comment ref="E34" authorId="0">
      <text>
        <r>
          <rPr>
            <sz val="9"/>
            <color indexed="81"/>
            <rFont val="Tahoma"/>
            <family val="2"/>
          </rPr>
          <t>Kitchen faucet usage assumptions may be higher at properties without dishwashers.</t>
        </r>
      </text>
    </comment>
    <comment ref="C42" authorId="0">
      <text>
        <r>
          <rPr>
            <b/>
            <sz val="9"/>
            <color indexed="81"/>
            <rFont val="Tahoma"/>
            <family val="2"/>
          </rPr>
          <t xml:space="preserve">Percentage of new faucet aerators and showerheads remaining in place after installation. </t>
        </r>
        <r>
          <rPr>
            <sz val="9"/>
            <color indexed="81"/>
            <rFont val="Tahoma"/>
            <family val="2"/>
          </rPr>
          <t xml:space="preserve">
Some tenants will remove or replace new fixtures with their own due to preference or dissatisfaction with the new fixtures.
Ensuring high quality fixtures and installation will increase adoption.</t>
        </r>
      </text>
    </comment>
    <comment ref="E64" authorId="0">
      <text>
        <r>
          <rPr>
            <sz val="9"/>
            <color indexed="81"/>
            <rFont val="Tahoma"/>
            <family val="2"/>
          </rPr>
          <t>Reported annual water consumption from Utilities input tab.</t>
        </r>
      </text>
    </comment>
  </commentList>
</comments>
</file>

<file path=xl/comments4.xml><?xml version="1.0" encoding="utf-8"?>
<comments xmlns="http://schemas.openxmlformats.org/spreadsheetml/2006/main">
  <authors>
    <author>Alice Suh</author>
  </authors>
  <commentList>
    <comment ref="H9" authorId="0">
      <text>
        <r>
          <rPr>
            <sz val="9"/>
            <color indexed="81"/>
            <rFont val="Tahoma"/>
            <family val="2"/>
          </rPr>
          <t>Quantity of each piece of installed equipment (if applicable)</t>
        </r>
      </text>
    </comment>
    <comment ref="I9" authorId="0">
      <text>
        <r>
          <rPr>
            <sz val="9"/>
            <color indexed="81"/>
            <rFont val="Tahoma"/>
            <family val="2"/>
          </rPr>
          <t>Number of apartment units affected by measure (if applicable)</t>
        </r>
      </text>
    </comment>
    <comment ref="K9" authorId="0">
      <text>
        <r>
          <rPr>
            <sz val="9"/>
            <color indexed="81"/>
            <rFont val="Tahoma"/>
            <family val="2"/>
          </rPr>
          <t>Including cost of labor.</t>
        </r>
      </text>
    </comment>
    <comment ref="L9" authorId="0">
      <text>
        <r>
          <rPr>
            <sz val="9"/>
            <color indexed="81"/>
            <rFont val="Tahoma"/>
            <family val="2"/>
          </rPr>
          <t>Only energy and water cost savings may be included - do not include cost savings from O&amp;M.</t>
        </r>
      </text>
    </comment>
    <comment ref="H49" authorId="0">
      <text>
        <r>
          <rPr>
            <sz val="9"/>
            <color indexed="81"/>
            <rFont val="Tahoma"/>
            <family val="2"/>
          </rPr>
          <t>Quantity of each piece of installed equipment (if applicable)</t>
        </r>
      </text>
    </comment>
    <comment ref="I49" authorId="0">
      <text>
        <r>
          <rPr>
            <sz val="9"/>
            <color indexed="81"/>
            <rFont val="Tahoma"/>
            <family val="2"/>
          </rPr>
          <t>Number of apartment units affected by measure (if applicable)</t>
        </r>
      </text>
    </comment>
    <comment ref="K49" authorId="0">
      <text>
        <r>
          <rPr>
            <sz val="9"/>
            <color indexed="81"/>
            <rFont val="Tahoma"/>
            <family val="2"/>
          </rPr>
          <t>Including cost of labor.</t>
        </r>
      </text>
    </comment>
  </commentList>
</comments>
</file>

<file path=xl/sharedStrings.xml><?xml version="1.0" encoding="utf-8"?>
<sst xmlns="http://schemas.openxmlformats.org/spreadsheetml/2006/main" count="1479" uniqueCount="831">
  <si>
    <t>Natural Gas</t>
  </si>
  <si>
    <t>Fuel Oil</t>
  </si>
  <si>
    <t>Electricity</t>
  </si>
  <si>
    <t>Water &amp; Sewer</t>
  </si>
  <si>
    <t>Water</t>
  </si>
  <si>
    <t>Yes</t>
  </si>
  <si>
    <t>No</t>
  </si>
  <si>
    <t>Fuel Units</t>
  </si>
  <si>
    <t>Gal #2 oil</t>
  </si>
  <si>
    <t>Gal #4 oil</t>
  </si>
  <si>
    <t>Gal #6 oil</t>
  </si>
  <si>
    <t>Gal propane</t>
  </si>
  <si>
    <t>Propane</t>
  </si>
  <si>
    <t>Water units</t>
  </si>
  <si>
    <t>Gal</t>
  </si>
  <si>
    <t>kGal</t>
  </si>
  <si>
    <t>CCF</t>
  </si>
  <si>
    <t>CF</t>
  </si>
  <si>
    <t>Costs and Savings</t>
  </si>
  <si>
    <t>Units</t>
  </si>
  <si>
    <t>$</t>
  </si>
  <si>
    <t>kWh</t>
  </si>
  <si>
    <t>Water Savings</t>
  </si>
  <si>
    <t>n/a</t>
  </si>
  <si>
    <t>Annual Electricity Savings</t>
  </si>
  <si>
    <t>Water and Sewer</t>
  </si>
  <si>
    <t>Heating</t>
  </si>
  <si>
    <t>HOW TO USE THIS FILE</t>
  </si>
  <si>
    <t>Utility Type</t>
  </si>
  <si>
    <t>Cooling</t>
  </si>
  <si>
    <t>Irrigation</t>
  </si>
  <si>
    <t>Energy Conversion Factors</t>
  </si>
  <si>
    <t>Dropdown Choices</t>
  </si>
  <si>
    <t>Pounds per KG</t>
  </si>
  <si>
    <t>CF (Cubic Feet)</t>
  </si>
  <si>
    <t>KCF or MCF (1000 Cu. Ft.)</t>
  </si>
  <si>
    <t>kBTU (Thousand BTU)</t>
  </si>
  <si>
    <t>mmBTU (Million BTU)</t>
  </si>
  <si>
    <t>Gallons Factor</t>
  </si>
  <si>
    <t>References</t>
  </si>
  <si>
    <t>Energy / Water Uses</t>
  </si>
  <si>
    <t>Source-Site Ratio</t>
  </si>
  <si>
    <t>Source-Site Reference</t>
  </si>
  <si>
    <t>CO2 Reference</t>
  </si>
  <si>
    <t>1)</t>
  </si>
  <si>
    <t>2)</t>
  </si>
  <si>
    <t>3)</t>
  </si>
  <si>
    <t>Utility Payer (Owner, Tenant, both)</t>
  </si>
  <si>
    <t>Lighting</t>
  </si>
  <si>
    <t>Other</t>
  </si>
  <si>
    <t>Fixture Type</t>
  </si>
  <si>
    <t>Maximum Installed Flush/Flow Rate</t>
  </si>
  <si>
    <t>gpf</t>
  </si>
  <si>
    <t>gpm</t>
  </si>
  <si>
    <t>Kitchen faucet</t>
  </si>
  <si>
    <t>Showerhead</t>
  </si>
  <si>
    <t>Toilet</t>
  </si>
  <si>
    <t>uses</t>
  </si>
  <si>
    <t>min</t>
  </si>
  <si>
    <t>Default Usage per Day</t>
  </si>
  <si>
    <t>Default</t>
  </si>
  <si>
    <t>Custom</t>
  </si>
  <si>
    <t>TOTAL</t>
  </si>
  <si>
    <t>Daily Usage per Occupant</t>
  </si>
  <si>
    <t>Property Name</t>
  </si>
  <si>
    <t>Gross Square Footage</t>
  </si>
  <si>
    <t>City</t>
  </si>
  <si>
    <t>State</t>
  </si>
  <si>
    <t>Year Built</t>
  </si>
  <si>
    <t>EWEM</t>
  </si>
  <si>
    <t>Source Energy Savings</t>
  </si>
  <si>
    <t>%</t>
  </si>
  <si>
    <t>therms</t>
  </si>
  <si>
    <t>Annual Water Savings</t>
  </si>
  <si>
    <t>Whole Property Energy and Water Savings</t>
  </si>
  <si>
    <t>QC</t>
  </si>
  <si>
    <t>WHOLE PROPERTY</t>
  </si>
  <si>
    <t>Flow/Flush Fixture Assumptions</t>
  </si>
  <si>
    <t>Table</t>
  </si>
  <si>
    <t>Historical Utility Consumption</t>
  </si>
  <si>
    <t>low</t>
  </si>
  <si>
    <t>high</t>
  </si>
  <si>
    <t>Row</t>
  </si>
  <si>
    <t>Utility rate ($/kWh)</t>
  </si>
  <si>
    <t>Utility rate ($/gal)</t>
  </si>
  <si>
    <t>Utility rate ($/btu)</t>
  </si>
  <si>
    <t>Total Number of Occupants</t>
  </si>
  <si>
    <t>Water Calculator Assumptions</t>
  </si>
  <si>
    <t>EWEM Description</t>
  </si>
  <si>
    <t>Model</t>
  </si>
  <si>
    <t>Laundry Assumptions</t>
  </si>
  <si>
    <t>Water Use</t>
  </si>
  <si>
    <t>Tenant Consumption Data Sources:</t>
  </si>
  <si>
    <t>In-Unit Washers</t>
  </si>
  <si>
    <t>gal/load</t>
  </si>
  <si>
    <t>loads</t>
  </si>
  <si>
    <t>UTILITIES</t>
  </si>
  <si>
    <t>WATER MODULE</t>
  </si>
  <si>
    <t>Laundry - In-Unit</t>
  </si>
  <si>
    <t>Laundry - Common Area</t>
  </si>
  <si>
    <t>Commercial Washers</t>
  </si>
  <si>
    <t>Toilets</t>
  </si>
  <si>
    <t>Kitchen Faucets</t>
  </si>
  <si>
    <t>Showerheads</t>
  </si>
  <si>
    <t>Proposed gpf</t>
  </si>
  <si>
    <t>Proposed gpm</t>
  </si>
  <si>
    <t>CCF gas</t>
  </si>
  <si>
    <t>Year of Last Substantial Rehab or Conversion to Multifamily</t>
  </si>
  <si>
    <t>Dishwashers</t>
  </si>
  <si>
    <t xml:space="preserve"> </t>
  </si>
  <si>
    <t>Owner only</t>
  </si>
  <si>
    <t>Tenant only</t>
  </si>
  <si>
    <t>Dishwasher Assumptions</t>
  </si>
  <si>
    <t>gal/cycle</t>
  </si>
  <si>
    <t>cycles</t>
  </si>
  <si>
    <t>Both - direct meter</t>
  </si>
  <si>
    <t>Both - submeter</t>
  </si>
  <si>
    <t>Representative sample bills</t>
  </si>
  <si>
    <t>Boiler plant improvements</t>
  </si>
  <si>
    <t>Building envelope</t>
  </si>
  <si>
    <t>Water and steam distribution</t>
  </si>
  <si>
    <t>Domestic hot water heating</t>
  </si>
  <si>
    <t>Chiller plant improvements</t>
  </si>
  <si>
    <t>Distributed generation</t>
  </si>
  <si>
    <t>Electric motors and drives</t>
  </si>
  <si>
    <t>Heating ventilating and air conditioning</t>
  </si>
  <si>
    <t>Appliances and plug load reductions</t>
  </si>
  <si>
    <t>Renewable energy systems</t>
  </si>
  <si>
    <t>Uncategorized</t>
  </si>
  <si>
    <t>Install advanced metering systems</t>
  </si>
  <si>
    <t>Replace dishwashers with ENERGY STAR rated</t>
  </si>
  <si>
    <t>Replace clothes dryers with ENERGY STAR rated</t>
  </si>
  <si>
    <t>Replace washing machines ENERGY STAR rated</t>
  </si>
  <si>
    <t>Install plug load controls</t>
  </si>
  <si>
    <t>Replace burner</t>
  </si>
  <si>
    <t>Insulate boiler room</t>
  </si>
  <si>
    <t>Add energy recovery</t>
  </si>
  <si>
    <t>Convert system from steam to hot water</t>
  </si>
  <si>
    <t>Insulate boiler</t>
  </si>
  <si>
    <t>Add or upgrade BAS/EMS/EMCS</t>
  </si>
  <si>
    <t>Add or upgrade controls</t>
  </si>
  <si>
    <t>Convert pneumatic controls to DDC</t>
  </si>
  <si>
    <t>Air seal envelope/weather-strip</t>
  </si>
  <si>
    <t>Increase wall insulation</t>
  </si>
  <si>
    <t>Increase roof insulation</t>
  </si>
  <si>
    <t>Install cool/green roof</t>
  </si>
  <si>
    <t>Add window films</t>
  </si>
  <si>
    <t>Install or replace solar screens</t>
  </si>
  <si>
    <t>Replace windows</t>
  </si>
  <si>
    <t>Insulate foundation</t>
  </si>
  <si>
    <t>Replace doors</t>
  </si>
  <si>
    <t>Add storm windows</t>
  </si>
  <si>
    <t>Install VSD on electric centrifugal chillers</t>
  </si>
  <si>
    <t>Replace chiller</t>
  </si>
  <si>
    <t>Add or replace cooling tower</t>
  </si>
  <si>
    <t>Install CHP/cogeneration systems</t>
  </si>
  <si>
    <t>Install fuel cells</t>
  </si>
  <si>
    <t>Install microturbines</t>
  </si>
  <si>
    <t>Convert fuels</t>
  </si>
  <si>
    <t>Install solar hot water system</t>
  </si>
  <si>
    <t>Separate DHW from heating</t>
  </si>
  <si>
    <t>Add drive controls</t>
  </si>
  <si>
    <t>Replace with higher efficiency</t>
  </si>
  <si>
    <t>Add VSD motor controller</t>
  </si>
  <si>
    <t>Upgrade elevator technology</t>
  </si>
  <si>
    <t>Replace or modify AHU</t>
  </si>
  <si>
    <t>Add duct insulation</t>
  </si>
  <si>
    <t>Replace package units</t>
  </si>
  <si>
    <t>Other heating</t>
  </si>
  <si>
    <t>Other cooling</t>
  </si>
  <si>
    <t>Other ventilation</t>
  </si>
  <si>
    <t>Other distribution</t>
  </si>
  <si>
    <t>Replace split system AC</t>
  </si>
  <si>
    <t>Replace wall/window AC</t>
  </si>
  <si>
    <t>Upgrade whole building lighting</t>
  </si>
  <si>
    <t>Upgrade common area lighting</t>
  </si>
  <si>
    <t>Upgrade exterior lighting</t>
  </si>
  <si>
    <t>Upgrade in-unit lighting</t>
  </si>
  <si>
    <t>Install sensors/controls</t>
  </si>
  <si>
    <t>Install photovoltaic system</t>
  </si>
  <si>
    <t>Install wind energy system</t>
  </si>
  <si>
    <t>Install low-flush toilets</t>
  </si>
  <si>
    <t>Install low-flow showerheads</t>
  </si>
  <si>
    <t>Implement water efficient irrigation</t>
  </si>
  <si>
    <t>Install low-flow kitchen faucets</t>
  </si>
  <si>
    <t>Install low-flow bath faucets</t>
  </si>
  <si>
    <t>Add pipe insulation</t>
  </si>
  <si>
    <t>Add recirculating pumps</t>
  </si>
  <si>
    <t>Replace with higher efficiency pump</t>
  </si>
  <si>
    <t>Replace with variable speed pump</t>
  </si>
  <si>
    <t>Balance distribution system</t>
  </si>
  <si>
    <t>Install thermostatic radiator valves</t>
  </si>
  <si>
    <t>Water and sewer conservation</t>
  </si>
  <si>
    <t>OccupancyRate</t>
  </si>
  <si>
    <t>PropertyName</t>
  </si>
  <si>
    <t>YearBuilt</t>
  </si>
  <si>
    <t>YearOfLastSubstantialRehab</t>
  </si>
  <si>
    <t>NumberOfBedrooms</t>
  </si>
  <si>
    <t>NumberOfApartmentUnits</t>
  </si>
  <si>
    <t>NumberOfOccupants</t>
  </si>
  <si>
    <t>UtilityType</t>
  </si>
  <si>
    <t>OwnerAnnualCost</t>
  </si>
  <si>
    <t>TenantAnnualCost</t>
  </si>
  <si>
    <t>TenantConsumptionDataSource</t>
  </si>
  <si>
    <t>EndUseCooling</t>
  </si>
  <si>
    <t>EndUseHeating</t>
  </si>
  <si>
    <t>EndUseIrrigation</t>
  </si>
  <si>
    <t>EndUseLaundry</t>
  </si>
  <si>
    <t>EndUseDishwashers</t>
  </si>
  <si>
    <t>EWEMNumber</t>
  </si>
  <si>
    <t>EWEMCategory</t>
  </si>
  <si>
    <t>EWEMDescription</t>
  </si>
  <si>
    <t>EWEMName</t>
  </si>
  <si>
    <t>Quantity</t>
  </si>
  <si>
    <t>InstalledCost</t>
  </si>
  <si>
    <t>WholePropertyAnnualCostSavings</t>
  </si>
  <si>
    <t>OwnerAnnualCostSavings</t>
  </si>
  <si>
    <t>TenantAnnualCostSavings</t>
  </si>
  <si>
    <t>SourceEnergyPercentSavings</t>
  </si>
  <si>
    <t>WaterPercentSavings</t>
  </si>
  <si>
    <t>Install low-flow fixtures</t>
  </si>
  <si>
    <t>EWEM Name</t>
  </si>
  <si>
    <t>Whole Property Consumption Savings</t>
  </si>
  <si>
    <t>(Yes / No)</t>
  </si>
  <si>
    <t>kBTU</t>
  </si>
  <si>
    <t>ZipCode</t>
  </si>
  <si>
    <t>Zip Code</t>
  </si>
  <si>
    <t>GrossSqFt</t>
  </si>
  <si>
    <t>RentableSqFt</t>
  </si>
  <si>
    <t>Rentable Square Footage</t>
  </si>
  <si>
    <t>EnergyStarScore</t>
  </si>
  <si>
    <t>"Other" Fuels:</t>
  </si>
  <si>
    <t>District Steam</t>
  </si>
  <si>
    <t>Mlbs</t>
  </si>
  <si>
    <t>Install or replace heat pumps</t>
  </si>
  <si>
    <t>Replace furnace</t>
  </si>
  <si>
    <t>Upgrade and balance ventilation system</t>
  </si>
  <si>
    <t>Replace refrigerators with ENERGY STAR rated</t>
  </si>
  <si>
    <t>Replace split system AC with furnace</t>
  </si>
  <si>
    <t>Total Cost for Property</t>
  </si>
  <si>
    <t>Total Costs for Owner/Tenant</t>
  </si>
  <si>
    <t>Annual Cost</t>
  </si>
  <si>
    <t>Annual Consumption</t>
  </si>
  <si>
    <t>Owner</t>
  </si>
  <si>
    <t>Tenant</t>
  </si>
  <si>
    <t>Owner-Paid</t>
  </si>
  <si>
    <t>Tenant-Paid</t>
  </si>
  <si>
    <t>Whole Property</t>
  </si>
  <si>
    <t>% Change 
in End Use</t>
  </si>
  <si>
    <t>Utilities</t>
  </si>
  <si>
    <t>QC Alert</t>
  </si>
  <si>
    <t>water savings</t>
  </si>
  <si>
    <t>energy savings</t>
  </si>
  <si>
    <t>Does not include energy savings</t>
  </si>
  <si>
    <t>Upgrade controls</t>
  </si>
  <si>
    <t>FULL ALERT</t>
  </si>
  <si>
    <t>Existing gpf</t>
  </si>
  <si>
    <t>Existing gpm</t>
  </si>
  <si>
    <t>QC note</t>
  </si>
  <si>
    <t>Alert 1</t>
  </si>
  <si>
    <t>Alert 2</t>
  </si>
  <si>
    <t>Alert 3</t>
  </si>
  <si>
    <t>Alert 4</t>
  </si>
  <si>
    <t>Enter additional water uses in optional rows to show other changes in end use consumption (e.g. cooling towers, boiler makeup water).</t>
  </si>
  <si>
    <t>Pool</t>
  </si>
  <si>
    <t>Water Calculator</t>
  </si>
  <si>
    <t>QC Item</t>
  </si>
  <si>
    <t>Category</t>
  </si>
  <si>
    <t>EWEM QC</t>
  </si>
  <si>
    <t>General QC</t>
  </si>
  <si>
    <t>Property water consumption model</t>
  </si>
  <si>
    <t>Property Source Energy Consumption</t>
  </si>
  <si>
    <t>Property Water Consumption</t>
  </si>
  <si>
    <t>Qty</t>
  </si>
  <si>
    <t>Owner Annual Cost Savings</t>
  </si>
  <si>
    <t>Tenant Annual Cost Savings</t>
  </si>
  <si>
    <t>Installed Cost</t>
  </si>
  <si>
    <t>ENERGY STAR Score</t>
  </si>
  <si>
    <t>Studio</t>
  </si>
  <si>
    <t>1-Bedroom</t>
  </si>
  <si>
    <t>2-Bedroom</t>
  </si>
  <si>
    <t>3-Bedroom</t>
  </si>
  <si>
    <t>4-Bedroom</t>
  </si>
  <si>
    <t>Total Number of Units</t>
  </si>
  <si>
    <t>Replace or upgrade central water heater</t>
  </si>
  <si>
    <t>Source EUI (kBTU/sf)</t>
  </si>
  <si>
    <t>UNIT BREAKDOWN &amp; OCCUPANCY</t>
  </si>
  <si>
    <t>Total Number of Bedrooms</t>
  </si>
  <si>
    <t>ENERGY STAR REPORT</t>
  </si>
  <si>
    <t>ASSUMPTIONS</t>
  </si>
  <si>
    <t>ANNUAL WATER CONSUMPTION &amp; SAVINGS</t>
  </si>
  <si>
    <t>Bathroom faucet</t>
  </si>
  <si>
    <t>Bathroom Faucets</t>
  </si>
  <si>
    <t>annual loads/occupant</t>
  </si>
  <si>
    <t>% that may be underwritten</t>
  </si>
  <si>
    <t>Replace or upgrade individual water heater</t>
  </si>
  <si>
    <t>Advanced controls and metering</t>
  </si>
  <si>
    <t>Replace steam traps</t>
  </si>
  <si>
    <t>Seal ducts</t>
  </si>
  <si>
    <t>If default values are not used, explain basis for assumptions:</t>
  </si>
  <si>
    <t>Portfolio Manager
Property ID</t>
  </si>
  <si>
    <t>ALERTS</t>
  </si>
  <si>
    <t>CONTENTS</t>
  </si>
  <si>
    <t>Install pool cover</t>
  </si>
  <si>
    <t>Replace exhaust or ventilation fans</t>
  </si>
  <si>
    <t>Average Occupancy Rate (%)</t>
  </si>
  <si>
    <t>PMPropertyID</t>
  </si>
  <si>
    <t>PMSourceEUI</t>
  </si>
  <si>
    <t>EndUseOther</t>
  </si>
  <si>
    <t>SITE DETAILS</t>
  </si>
  <si>
    <t>Submitted to (Lender)</t>
  </si>
  <si>
    <t>Address</t>
  </si>
  <si>
    <t>Number of Buildings</t>
  </si>
  <si>
    <t>HPBVendor</t>
  </si>
  <si>
    <t>Lender</t>
  </si>
  <si>
    <t>EWEM No.</t>
  </si>
  <si>
    <t>Total Installed Cost</t>
  </si>
  <si>
    <t>INPUT: Property Information</t>
  </si>
  <si>
    <t>PROJECT INFORMATION</t>
  </si>
  <si>
    <t>INPUT: Historical Utilities Information</t>
  </si>
  <si>
    <t>HISTORICAL UTILITIES COST AND CONSUMPTION</t>
  </si>
  <si>
    <t>INPUT: Water Historical Consumption and Projected Savings Calculator</t>
  </si>
  <si>
    <t>REPORT TABLE: Historical Energy and Water Consumption and Costs</t>
  </si>
  <si>
    <t>Historical Energy and Water Consumption and Costs</t>
  </si>
  <si>
    <t>Error Checking</t>
  </si>
  <si>
    <t>REFERENCE: EWEM By Category</t>
  </si>
  <si>
    <t>REPORT TABLE: EWEM Projected Cost Savings</t>
  </si>
  <si>
    <t>REPORT TABLE: EWEM Projected Consumption Savings</t>
  </si>
  <si>
    <t>Check Errors</t>
  </si>
  <si>
    <t>Lender:</t>
  </si>
  <si>
    <t>Qty.</t>
  </si>
  <si>
    <t>In-Unit Washer</t>
  </si>
  <si>
    <t>Kitchen Faucet</t>
  </si>
  <si>
    <t>Bathroom Faucet</t>
  </si>
  <si>
    <t>Common Washer</t>
  </si>
  <si>
    <t>Dishwasher</t>
  </si>
  <si>
    <t>Adoption rate for removable low-flow fixtures</t>
  </si>
  <si>
    <t>Fixture/Appliance</t>
  </si>
  <si>
    <t>% of Occupants Affected</t>
  </si>
  <si>
    <t>Existing Water Use Rate</t>
  </si>
  <si>
    <t>Proposed Water Use Rate</t>
  </si>
  <si>
    <t>Occupant Usage</t>
  </si>
  <si>
    <t>Equipment Replacement</t>
  </si>
  <si>
    <t>Replace</t>
  </si>
  <si>
    <t>Leave in place</t>
  </si>
  <si>
    <t>If prescribed assumptions are not used, auditor must provide detailed explanation for any deviations.</t>
  </si>
  <si>
    <t>Explain basis for custom assumptions:</t>
  </si>
  <si>
    <t>Historical electricity cost and consumption</t>
  </si>
  <si>
    <t>Historical water and sewer cost and consumption</t>
  </si>
  <si>
    <t>Historical fuel cost and consumption</t>
  </si>
  <si>
    <t>Lender List</t>
  </si>
  <si>
    <t>HPB Report Score</t>
  </si>
  <si>
    <t>Report Quality Score</t>
  </si>
  <si>
    <t>No further review</t>
  </si>
  <si>
    <t>Minor corrections</t>
  </si>
  <si>
    <t>Substantial issues</t>
  </si>
  <si>
    <t>Reviewer Name</t>
  </si>
  <si>
    <t xml:space="preserve">Instructions to Lender: </t>
  </si>
  <si>
    <t xml:space="preserve">Selected for Implementation </t>
  </si>
  <si>
    <t>4)</t>
  </si>
  <si>
    <t>ReviewerName</t>
  </si>
  <si>
    <t>EWEMSelected</t>
  </si>
  <si>
    <t>HPB Report Rating</t>
  </si>
  <si>
    <t>OtherLender</t>
  </si>
  <si>
    <t>HPB Consultant:</t>
  </si>
  <si>
    <t>HPB Consultant Response</t>
  </si>
  <si>
    <t>Lender Validation</t>
  </si>
  <si>
    <t>Fannie Mae Multifamily Form 4099.H</t>
  </si>
  <si>
    <t>Site Visit Date</t>
  </si>
  <si>
    <t>Date Approved</t>
  </si>
  <si>
    <t>HPB Consultant Company</t>
  </si>
  <si>
    <t>Whole property aggregate</t>
  </si>
  <si>
    <t>ApprovalDate</t>
  </si>
  <si>
    <t>SiteVisitDate</t>
  </si>
  <si>
    <t>Input-Property</t>
  </si>
  <si>
    <t>Input-Utilities</t>
  </si>
  <si>
    <t>Input-Water Calc</t>
  </si>
  <si>
    <t>Input-EWEMs</t>
  </si>
  <si>
    <t>Report-Utilities</t>
  </si>
  <si>
    <t>Report-EWEM Cost Savings</t>
  </si>
  <si>
    <t>Report-EWEM Cons Savings</t>
  </si>
  <si>
    <t>Reference-Measure List</t>
  </si>
  <si>
    <t>% Change 
of Total</t>
  </si>
  <si>
    <t>Historical Utility Cost</t>
  </si>
  <si>
    <t>Total Tenant Monthly Utility Cost ($/unit)</t>
  </si>
  <si>
    <t>Totals: Tenant Cost</t>
  </si>
  <si>
    <t>Tenant utility cost</t>
  </si>
  <si>
    <t>LoanID</t>
  </si>
  <si>
    <t>OwnerDataReceiptDate</t>
  </si>
  <si>
    <t>ReportQualityScore</t>
  </si>
  <si>
    <t>PMScoreEndDate</t>
  </si>
  <si>
    <t>EndUseDHW</t>
  </si>
  <si>
    <t>Date Data Received from Owner</t>
  </si>
  <si>
    <t>If the report or 4099.H requires corrections, work with the HPB Consultant to resolve issues.</t>
  </si>
  <si>
    <t>NumberOfBuildings</t>
  </si>
  <si>
    <t>Seasonal energy consumption breakdown</t>
  </si>
  <si>
    <t xml:space="preserve">Disaggregate the seasonal energy or water consumption from the nonseasonal baseload consumption. Enter results of modeling software used, or calculate the baseload from monthly bills by taking the average of the months during which seasonal consumption is not expected, and multiply the consumption across 12 months. </t>
  </si>
  <si>
    <t>Existing water consumption must be calculated using actual flow rates measured on site.</t>
  </si>
  <si>
    <t>Arbor Commercial Funding I, LLC</t>
  </si>
  <si>
    <t>Barings Multifamily Capital LLC</t>
  </si>
  <si>
    <t>Bellwether Enterprise Real Estate Capital, LLC</t>
  </si>
  <si>
    <t>CBRE Multifamily Capital, Inc.</t>
  </si>
  <si>
    <t>Cinnaire Corporation</t>
  </si>
  <si>
    <t>Citi Community Capital</t>
  </si>
  <si>
    <t>Dougherty Mortgage LLC</t>
  </si>
  <si>
    <t>Grandbridge Real Estate Capital, LLC</t>
  </si>
  <si>
    <t>HomeStreet Capital Corporation</t>
  </si>
  <si>
    <t>Jones Lang LaSalle Multifamily, LLC</t>
  </si>
  <si>
    <t>KeyBank National Association</t>
  </si>
  <si>
    <t>M&amp;T Realty Capital Corporation</t>
  </si>
  <si>
    <t>Massachusetts Housing Partnership</t>
  </si>
  <si>
    <t>PNC Real Estate</t>
  </si>
  <si>
    <t>PGIM Real Estate Finance</t>
  </si>
  <si>
    <t>The Community Development Trust, Inc.</t>
  </si>
  <si>
    <t>Walker &amp; Dunlop, LLC</t>
  </si>
  <si>
    <t>Wells Fargo Multifamily Capital</t>
  </si>
  <si>
    <t>NumberOfUnits</t>
  </si>
  <si>
    <t>PercentOfUnits</t>
  </si>
  <si>
    <t>For Year Ending Date</t>
  </si>
  <si>
    <t>Total Baths</t>
  </si>
  <si>
    <t>Full Baths</t>
  </si>
  <si>
    <t>Half Baths</t>
  </si>
  <si>
    <t>gal/year</t>
  </si>
  <si>
    <t>Existing</t>
  </si>
  <si>
    <t>Proposed</t>
  </si>
  <si>
    <t>Savings</t>
  </si>
  <si>
    <t>Initial Submission Date</t>
  </si>
  <si>
    <t>Revision 1 Date</t>
  </si>
  <si>
    <t>Revision 2 Date</t>
  </si>
  <si>
    <t>Revision 3 Date</t>
  </si>
  <si>
    <t>Revision 4 Date</t>
  </si>
  <si>
    <t>InitialSubmissionDate</t>
  </si>
  <si>
    <t>FinalSubmissionDate</t>
  </si>
  <si>
    <t>Number of Apts</t>
  </si>
  <si>
    <t>% of Apts</t>
  </si>
  <si>
    <t>Annual Owner Cost Savings</t>
  </si>
  <si>
    <t>Annual Tenant Cost Savings</t>
  </si>
  <si>
    <t>Energy</t>
  </si>
  <si>
    <t>EWEM #s</t>
  </si>
  <si>
    <t>EWEMs</t>
  </si>
  <si>
    <t>Total EWEM</t>
  </si>
  <si>
    <t>Owner energy cost savings</t>
  </si>
  <si>
    <t>Owner water cost savings</t>
  </si>
  <si>
    <t>Tenant energy cost savings</t>
  </si>
  <si>
    <t>Tenant water cost savings</t>
  </si>
  <si>
    <t>Alert</t>
  </si>
  <si>
    <t>Cannot be greater than historical spend</t>
  </si>
  <si>
    <t>Total owner and tenant EWEM savings</t>
  </si>
  <si>
    <t>Notes</t>
  </si>
  <si>
    <t>LoanID2</t>
  </si>
  <si>
    <t>AcquisitionDate</t>
  </si>
  <si>
    <t>SubcontractedBy</t>
  </si>
  <si>
    <t>Location Served</t>
  </si>
  <si>
    <t>Apartments</t>
  </si>
  <si>
    <t>Common area</t>
  </si>
  <si>
    <t>Apts and comm area</t>
  </si>
  <si>
    <t>Projected Energy Cost Savings</t>
  </si>
  <si>
    <t>Projected Water Cost Savings</t>
  </si>
  <si>
    <t>INPUT: Recommended Energy and Water Efficiency Measures</t>
  </si>
  <si>
    <t>Select EWEM No.</t>
  </si>
  <si>
    <t>RECOMMENDED ENERGY AND WATER EFFICIENCY MEASURES</t>
  </si>
  <si>
    <t>Add attic insulation</t>
  </si>
  <si>
    <t>Replace PTACs</t>
  </si>
  <si>
    <t>Install ground source heat pump system</t>
  </si>
  <si>
    <t>Install or replace condensate return system</t>
  </si>
  <si>
    <t>Total</t>
  </si>
  <si>
    <t>Allowable Underwritten Cost Savings</t>
  </si>
  <si>
    <t>Allowable UW Energy Cost Savings</t>
  </si>
  <si>
    <t>Allowable UW Water Cost Savings</t>
  </si>
  <si>
    <t>Subtotal</t>
  </si>
  <si>
    <t>Replace central heating boiler</t>
  </si>
  <si>
    <t>Replace individual heating boiler</t>
  </si>
  <si>
    <t>LocationServed</t>
  </si>
  <si>
    <t>ADJUSTMENTS TO RECOMMENDED EWEM (OPTIONAL)</t>
  </si>
  <si>
    <t xml:space="preserve">1)  Review entire workbook to verify that no yellow cells are incomplete, and HPB Consultant has satisfactorily responded to any QC alerts in Check Errors tab. </t>
  </si>
  <si>
    <t>4)  If HPB Report has scored 2 or 3 (requires corrections), return this workbook to the HPB Consultant until all issues are resolved.</t>
  </si>
  <si>
    <t>Water Use Intensity (gal/sf)</t>
  </si>
  <si>
    <t>Both - flat fee/other</t>
  </si>
  <si>
    <t>Both - RUBS</t>
  </si>
  <si>
    <t>PMWaterUI</t>
  </si>
  <si>
    <t>EWEM #</t>
  </si>
  <si>
    <t>Projected Installed Costs &amp; Annual Cost Savings of Recommended EWEM</t>
  </si>
  <si>
    <t>Projected Annual Consumption Savings of Recommended EWEM</t>
  </si>
  <si>
    <t>adj water savings</t>
  </si>
  <si>
    <t>adj energy savings</t>
  </si>
  <si>
    <t>Version</t>
  </si>
  <si>
    <t>WaterUse</t>
  </si>
  <si>
    <t>DailyOccupantUsage</t>
  </si>
  <si>
    <t>DailyOccupantUsageUnit</t>
  </si>
  <si>
    <t>AdoptionRate</t>
  </si>
  <si>
    <t>QuantityReplaced</t>
  </si>
  <si>
    <t>QuantityLeft</t>
  </si>
  <si>
    <t>OccupantsLeft</t>
  </si>
  <si>
    <t>OccupantsReplaced</t>
  </si>
  <si>
    <t>Bath Faucet</t>
  </si>
  <si>
    <t>Laundry In Unit</t>
  </si>
  <si>
    <t>Laundry Common Area</t>
  </si>
  <si>
    <t>ExistingUseRateReplaced</t>
  </si>
  <si>
    <t>ExistingUseRateLeft</t>
  </si>
  <si>
    <t>ProposedUseRateReplaced</t>
  </si>
  <si>
    <t>UseRateUnit</t>
  </si>
  <si>
    <t>EPA Water Score</t>
  </si>
  <si>
    <t>EPAWaterScore</t>
  </si>
  <si>
    <t>Energy Star report</t>
  </si>
  <si>
    <t>3)  Score the HPB Report Quality: 1 - No further corrections; 2 - Minor corrections; 3 - Substantial issues. Enter your name and date of approval.</t>
  </si>
  <si>
    <t>NumberOfBedroomsPM</t>
  </si>
  <si>
    <t>Eligible</t>
  </si>
  <si>
    <t>Complete</t>
  </si>
  <si>
    <t>EUL</t>
  </si>
  <si>
    <t>years</t>
  </si>
  <si>
    <t>Item</t>
  </si>
  <si>
    <t>none</t>
  </si>
  <si>
    <t>Dwelling Unit Fixtures</t>
  </si>
  <si>
    <t>Bathroom: Toilet</t>
  </si>
  <si>
    <t>Bathroom: Fixtures/Faucets</t>
  </si>
  <si>
    <t>Kitchen: Dishwasher</t>
  </si>
  <si>
    <t>Interior/Common Area Finishes</t>
  </si>
  <si>
    <t>Interior lighting</t>
  </si>
  <si>
    <t>Site Lighting</t>
  </si>
  <si>
    <t>Building mounted exterior lighting</t>
  </si>
  <si>
    <t>[Site Lighting] Lighting (pole mounted)</t>
  </si>
  <si>
    <t>Building Envelope/Cladding/Exterior Wall Finishes</t>
  </si>
  <si>
    <t>Insulation, wall</t>
  </si>
  <si>
    <t>[Building Envelope/Cladding/Exterior Wall Finishes] Exterior Insulation Finishing Systems (EIFS)</t>
  </si>
  <si>
    <t>Doors and Windows</t>
  </si>
  <si>
    <t>Storm/ screen windows</t>
  </si>
  <si>
    <t>Windows (frames and glazing), vinyl or aluminum</t>
  </si>
  <si>
    <t>[Doors and Windows] Residential Sliding Glass Doors</t>
  </si>
  <si>
    <t>Exterior unit door, solid wood/ metal clad; Exterior common door, solid core wood or metal clad</t>
  </si>
  <si>
    <t>[Doors and Windows] Exterior common door, aluminum and glass</t>
  </si>
  <si>
    <t>Built-up roof - Ethylene Propylene Diene Monomer (EPDM)/ Thermoplastic Polyolefin (TPO)</t>
  </si>
  <si>
    <t>Roof Systems</t>
  </si>
  <si>
    <t>Water distribution and domestic hot water systems</t>
  </si>
  <si>
    <t>Cooling Tower</t>
  </si>
  <si>
    <t>Water distribution and domestic hot water systems; Building heating water temperature controls</t>
  </si>
  <si>
    <t>Building heating water temperature controls</t>
  </si>
  <si>
    <t>Chilling Plant</t>
  </si>
  <si>
    <t>Alternative EULs</t>
  </si>
  <si>
    <t>Kitchen: Refrigerator; [Interior/Common area finishes] Common area, refrigerator</t>
  </si>
  <si>
    <t>[Interior/Common area finishes] Common area, dishwasher</t>
  </si>
  <si>
    <t>Electrical systems</t>
  </si>
  <si>
    <t>Emergency Generator</t>
  </si>
  <si>
    <t>Outdoor Temperature Sensor</t>
  </si>
  <si>
    <t>Heating/Cooling System and Controls</t>
  </si>
  <si>
    <t>Boilers</t>
  </si>
  <si>
    <t>Gas/ dual fuel, sectional; Gas fired atmospheric</t>
  </si>
  <si>
    <t>[Boilers] Oil/gas dual fired, low MBH; [Boilers] Oil/gas dual fired, high MBH</t>
  </si>
  <si>
    <t>Dwelling Unit HVAC and Mechanical Equipment</t>
  </si>
  <si>
    <t>Unit Level Boiler</t>
  </si>
  <si>
    <t>Boiler Room Equipment</t>
  </si>
  <si>
    <t>Boiler Temperature Controls</t>
  </si>
  <si>
    <t>Solar Hot Water</t>
  </si>
  <si>
    <t>Exchanger in storage tank; Exchanger in boiler; External tankless; Domestic Hot Water Storage Tanks, Small (up to 150 gallons); Domestic Hot Water Storage Tanks, Large (over 150 gallons)</t>
  </si>
  <si>
    <t>Heating water controller</t>
  </si>
  <si>
    <t>Unit Level Domestic Hot Water</t>
  </si>
  <si>
    <t>Packaged terminal air conditioner (PTAC)</t>
  </si>
  <si>
    <t>Furnace (electric heat with A/C); Furnace (gas heat with A/C); Heater, wall mounted electric or gas</t>
  </si>
  <si>
    <t>A/C window unit or through wall</t>
  </si>
  <si>
    <t>Vertical Transportation - Elevators</t>
  </si>
  <si>
    <t>Elevator, Controller, dispatcher</t>
  </si>
  <si>
    <t>Dwelling Unit HVAC and Mechanical Equipment; Heating/Cooling System and Controls</t>
  </si>
  <si>
    <t>Furnace (electric heat with A/C); Furnace (gas heat with A/C)</t>
  </si>
  <si>
    <t>Packaged HVAC (rooftop unit)</t>
  </si>
  <si>
    <t>[Dwelling Unit HVAC and Mechanical Equipment] Packaged HVAC (rooftop unit)</t>
  </si>
  <si>
    <t>Heat pump condensing component</t>
  </si>
  <si>
    <t>Foundations</t>
  </si>
  <si>
    <t>Condensate and feedwater (steam)</t>
  </si>
  <si>
    <t>DHW Circulating Pumps</t>
  </si>
  <si>
    <t>Central unit Exhaust, roof mounted</t>
  </si>
  <si>
    <t>[Dwelling Unit Fixtures] Bathroom: Vent / Exhaust</t>
  </si>
  <si>
    <t>REFERENCE: EWEM EULs By Category</t>
  </si>
  <si>
    <t>OwnerEnergyCostSavings</t>
  </si>
  <si>
    <t>OwnerWaterCostSavings</t>
  </si>
  <si>
    <t>TenantWaterCostSavings</t>
  </si>
  <si>
    <t>TenantEnergyCostSavings</t>
  </si>
  <si>
    <t>TotalEULSavings</t>
  </si>
  <si>
    <t>WaterSavings_kgal</t>
  </si>
  <si>
    <t>kbtu</t>
  </si>
  <si>
    <t>kgal</t>
  </si>
  <si>
    <t>ElectricitySavings_SourceKBTU</t>
  </si>
  <si>
    <t>ElectricitySavings_SiteKBTU</t>
  </si>
  <si>
    <t>Source BTU factor (BTU/unit of fuel)</t>
  </si>
  <si>
    <t>Site BTU factor (BTU/unit of fuel)</t>
  </si>
  <si>
    <t>Utility Unit</t>
  </si>
  <si>
    <t>Site kbtu savings</t>
  </si>
  <si>
    <t>Source kbtu savings</t>
  </si>
  <si>
    <t>Water savings</t>
  </si>
  <si>
    <t>Tenant data source</t>
  </si>
  <si>
    <t>Tenant Utility Billing Method</t>
  </si>
  <si>
    <t>Separately metered</t>
  </si>
  <si>
    <t>Submetered</t>
  </si>
  <si>
    <t>RUBS</t>
  </si>
  <si>
    <t>Flat fee/other</t>
  </si>
  <si>
    <t>Tenant billing method</t>
  </si>
  <si>
    <t>(units)</t>
  </si>
  <si>
    <t>Cost</t>
  </si>
  <si>
    <t>Consumption</t>
  </si>
  <si>
    <t>Whole Property Annual Consumption</t>
  </si>
  <si>
    <t>Source Energy (kBTU)</t>
  </si>
  <si>
    <t>Total Source Energy (kBTU):</t>
  </si>
  <si>
    <t>Water Uses</t>
  </si>
  <si>
    <t>Leaks</t>
  </si>
  <si>
    <t>Unidentified</t>
  </si>
  <si>
    <t>Site Energy Total</t>
  </si>
  <si>
    <t>Owner-Paid Annual Utilities</t>
  </si>
  <si>
    <t>Tenant-Paid Annual Utilities</t>
  </si>
  <si>
    <t>EWEM Number</t>
  </si>
  <si>
    <t>Status</t>
  </si>
  <si>
    <t>Measure selection completion:</t>
  </si>
  <si>
    <t>Number of tenant accounts sampled</t>
  </si>
  <si>
    <t>Actual Underwritten Cost Savings</t>
  </si>
  <si>
    <t>ActualUWCostSavings</t>
  </si>
  <si>
    <t>UTILITY END USE BREAKDOWN</t>
  </si>
  <si>
    <t>Seasonal Consumption</t>
  </si>
  <si>
    <t>Domestic Hot Water</t>
  </si>
  <si>
    <t>Baseload and Other Consumption</t>
  </si>
  <si>
    <t>List any atypical end uses at the property:</t>
  </si>
  <si>
    <t>Primary Fuel</t>
  </si>
  <si>
    <t>In-Unit Utilities</t>
  </si>
  <si>
    <t>TENANT DATA COLLECTION AND IN-UNIT UTILITIES</t>
  </si>
  <si>
    <t>In-Unit Heating</t>
  </si>
  <si>
    <t>In-Unit Electricity</t>
  </si>
  <si>
    <t>In-Unit Cooling</t>
  </si>
  <si>
    <t>Install photovoltaic system with battery storage</t>
  </si>
  <si>
    <t>List any atypical end uses a significant portion of the utility is dedicated to. Usual electricity and water baseloads (i.e. electric plug loads, residential water usage) are assumed and do not need to be listed.</t>
  </si>
  <si>
    <t>Generation method</t>
  </si>
  <si>
    <t>Total Electricity Generated</t>
  </si>
  <si>
    <t>Meter served</t>
  </si>
  <si>
    <t>Electricity Used Onsite</t>
  </si>
  <si>
    <t>Number of Units Sampled in Site Visit</t>
  </si>
  <si>
    <t>Install battery storage</t>
  </si>
  <si>
    <t>Existing Onsite Electricity Generation (if applicable)</t>
  </si>
  <si>
    <t>kW</t>
  </si>
  <si>
    <t>System Size</t>
  </si>
  <si>
    <t>PROPOSED SOLAR PV SYSTEM CHARACTERISTICS</t>
  </si>
  <si>
    <t>AVAILABLE INCENTIVES</t>
  </si>
  <si>
    <t>Type of roof</t>
  </si>
  <si>
    <t>Location</t>
  </si>
  <si>
    <t>Anticipated System Size</t>
  </si>
  <si>
    <t>kWh/year</t>
  </si>
  <si>
    <t>Has the property obtained a technical solar PV assessment from a solar specialist?</t>
  </si>
  <si>
    <t>Carport/Canopy</t>
  </si>
  <si>
    <t>Ground Mount</t>
  </si>
  <si>
    <t>Flat</t>
  </si>
  <si>
    <t>SOLAR PV POTENTIAL</t>
  </si>
  <si>
    <t>INPUT: Solar PV Potential Assessment</t>
  </si>
  <si>
    <t>Roof Mount</t>
  </si>
  <si>
    <t>Is the property located in a jurisdiction that offers Solar Renewable Energy Credits (SRECs)?</t>
  </si>
  <si>
    <t>Roof type</t>
  </si>
  <si>
    <t>Solar PV location</t>
  </si>
  <si>
    <t>OwnerPaidEnergyConsumption_SiteKBTU</t>
  </si>
  <si>
    <t>OwnerPaidEnergyConsumption_SourceKBTU</t>
  </si>
  <si>
    <t>OwnerPaidWaterConsumption_kGal</t>
  </si>
  <si>
    <t>TenantPaidEnergyConsumption_SiteKBTU</t>
  </si>
  <si>
    <t>TenantPaidEnergyConsumption_SourceKBTU</t>
  </si>
  <si>
    <t>TenantPaidWaterConsumption_kGal</t>
  </si>
  <si>
    <t>TotalAnnualEnergyConsumption_SiteKBTU</t>
  </si>
  <si>
    <t>TotalAnnualEnergyConsumption_SourceKBTU</t>
  </si>
  <si>
    <t>TotalAnnualWaterConsumption_kGal</t>
  </si>
  <si>
    <t>Irrigation_kGal</t>
  </si>
  <si>
    <t>Heating_SiteKBTU</t>
  </si>
  <si>
    <t>Cooling_SiteKBTU</t>
  </si>
  <si>
    <t>DomesticHotWater_SiteKBTU</t>
  </si>
  <si>
    <t>Lighting_SiteKBTU</t>
  </si>
  <si>
    <t>Baseload_SiteKBTU</t>
  </si>
  <si>
    <t>Baseload_kGal</t>
  </si>
  <si>
    <t>OtherBaseload_SiteKBTU</t>
  </si>
  <si>
    <t>TenantBillingMethod</t>
  </si>
  <si>
    <t>NumberOfTenantAccountsSampled</t>
  </si>
  <si>
    <t>UtilityProvider</t>
  </si>
  <si>
    <t>Anticipated Average Annual Production</t>
  </si>
  <si>
    <t>SolarAssessmentPerformed</t>
  </si>
  <si>
    <t>TypeOfRoof</t>
  </si>
  <si>
    <t>SRECsAvailable</t>
  </si>
  <si>
    <t>InUnitUtility</t>
  </si>
  <si>
    <t>PaidBy</t>
  </si>
  <si>
    <t>PrimaryFuel</t>
  </si>
  <si>
    <t>ExistingSystemSize_kW</t>
  </si>
  <si>
    <t>ExistingGenerationType</t>
  </si>
  <si>
    <t>MeterServedByExistingGeneration</t>
  </si>
  <si>
    <t>RecommendedArrayLocation</t>
  </si>
  <si>
    <t>RecommendedSystemSize_kW</t>
  </si>
  <si>
    <t>NumberOfUnitsSampled</t>
  </si>
  <si>
    <t>Total Water (kgal):</t>
  </si>
  <si>
    <t>Name of Utility Provider(s)</t>
  </si>
  <si>
    <t>Number of units</t>
  </si>
  <si>
    <t>Required sample size</t>
  </si>
  <si>
    <t>Utility Payer</t>
  </si>
  <si>
    <t>Tenant utility data and in-unit utilities</t>
  </si>
  <si>
    <t>Resident car wash</t>
  </si>
  <si>
    <t>Fuel Paid By</t>
  </si>
  <si>
    <t>Shingle</t>
  </si>
  <si>
    <t>Commercial kitchen - Seniors housing</t>
  </si>
  <si>
    <t>Median age of roof</t>
  </si>
  <si>
    <t>MedianAgeOfRoof_yrs</t>
  </si>
  <si>
    <t>Is the property located in a jurisdiction that allows net metering?</t>
  </si>
  <si>
    <t>NetMeteringAvailable</t>
  </si>
  <si>
    <t>NotRecommended_RooftopAmenities</t>
  </si>
  <si>
    <t>NotRecommended_RooftopMechanicals</t>
  </si>
  <si>
    <t>NotRecommended_Shading</t>
  </si>
  <si>
    <t>NotRecommended_AgeOfRoof</t>
  </si>
  <si>
    <t>NotRecommended_ZoningOrPermitting</t>
  </si>
  <si>
    <t>NotRecommended_Other</t>
  </si>
  <si>
    <t xml:space="preserve">Other:  </t>
  </si>
  <si>
    <t>TotalAnnualCost</t>
  </si>
  <si>
    <t>NaturalGasSavings_SiteKBTU</t>
  </si>
  <si>
    <t>DistrictSteamSavings_SiteKBTU</t>
  </si>
  <si>
    <t>PropaneSavings_SiteKBTU</t>
  </si>
  <si>
    <t>NaturalGasSavings_SourceKBTU</t>
  </si>
  <si>
    <t>DistrictSteamSavings_SourceKBTU</t>
  </si>
  <si>
    <t>PropaneSavings_SourceKBTU</t>
  </si>
  <si>
    <t>Add economizer</t>
  </si>
  <si>
    <t>Add economizer cycle</t>
  </si>
  <si>
    <t>Cannot be greater than historical consumption</t>
  </si>
  <si>
    <t>DHW energy savings</t>
  </si>
  <si>
    <t>Lighting energy savings</t>
  </si>
  <si>
    <t>Fannie Mae EUL Table</t>
  </si>
  <si>
    <t>Includes energy savings; water module</t>
  </si>
  <si>
    <t>Total Site Energy Savings</t>
  </si>
  <si>
    <t>Total Source Energy Savings</t>
  </si>
  <si>
    <t>Total Water Savings</t>
  </si>
  <si>
    <t>total</t>
  </si>
  <si>
    <t>Fuel Oil #2</t>
  </si>
  <si>
    <t>Fuel Oil #4</t>
  </si>
  <si>
    <t>Fuel Oil #6</t>
  </si>
  <si>
    <t>FuelOil2Savings_SiteKBTU</t>
  </si>
  <si>
    <t>FuelOil4Savings_SiteKBTU</t>
  </si>
  <si>
    <t>FuelOil6Savings_SiteKBTU</t>
  </si>
  <si>
    <t>FuelOil2Savings_SourceKBTU</t>
  </si>
  <si>
    <t>FuelOil4Savings_SourceKBTU</t>
  </si>
  <si>
    <t>FuelOil6Savings_SourceKBTU</t>
  </si>
  <si>
    <t>Gray rows not currently used in calculations but included for reference.</t>
  </si>
  <si>
    <t>Secondary Fuel</t>
  </si>
  <si>
    <t>In-Unit Utility Fuel</t>
  </si>
  <si>
    <t>SecondaryFuel</t>
  </si>
  <si>
    <t>In-Unit Water Heating</t>
  </si>
  <si>
    <t>SourceEnergySavings_kBTU</t>
  </si>
  <si>
    <t>SiteEnergySavings_kBTU</t>
  </si>
  <si>
    <t>GHGSavings_lbCO2e</t>
  </si>
  <si>
    <t>GHG savings</t>
  </si>
  <si>
    <t>lb CO2e</t>
  </si>
  <si>
    <t>CO2eq Emissions (kg/MBtu)</t>
  </si>
  <si>
    <t>Direct GHG Emissions Factors for the U.S. and Canada</t>
  </si>
  <si>
    <t xml:space="preserve">Indirect GHG Emissions Factors for all District Fuels
</t>
  </si>
  <si>
    <t>CCF propane</t>
  </si>
  <si>
    <t>Non-Baseload Factors used for Avoided Emissions in the U.S. (National Average)</t>
  </si>
  <si>
    <t>CO2eq Emissions (lb/MBtu)</t>
  </si>
  <si>
    <t>Mlbs = 1,000 lbs steam as per utility conventions, not 1,000,000 lbs steam.</t>
  </si>
  <si>
    <t>1, 2</t>
  </si>
  <si>
    <r>
      <rPr>
        <b/>
        <sz val="11"/>
        <color theme="1"/>
        <rFont val="Calibri"/>
        <family val="2"/>
        <scheme val="minor"/>
      </rPr>
      <t>Portfolio Manager Technical Reference: Thermal Energy Conversions, August 2015</t>
    </r>
    <r>
      <rPr>
        <sz val="11"/>
        <color theme="1"/>
        <rFont val="Calibri"/>
        <family val="2"/>
        <scheme val="minor"/>
      </rPr>
      <t xml:space="preserve"> (https://portfoliomanager.energystar.gov/pdf/reference/Thermal%20Conversions.pdf)</t>
    </r>
  </si>
  <si>
    <t>National average used for electricity GHG avoided emissions</t>
  </si>
  <si>
    <t>Community Preservation Corporation</t>
  </si>
  <si>
    <t>SunTrust Bank</t>
  </si>
  <si>
    <t/>
  </si>
  <si>
    <t>Total energy consumption savings</t>
  </si>
  <si>
    <t>Total water consumption savings</t>
  </si>
  <si>
    <t>Does not include energy and water savings</t>
  </si>
  <si>
    <t>Error check completion:</t>
  </si>
  <si>
    <t>Input-Solar</t>
  </si>
  <si>
    <t>AllowableUWEnergyCostSavings</t>
  </si>
  <si>
    <t>AllowableUWWaterCostSavings</t>
  </si>
  <si>
    <t>AllowableUWTotalCostSavings</t>
  </si>
  <si>
    <t>Energy and Water Efficiency Measure (EWEM) Selection and Report Validation by Lender</t>
  </si>
  <si>
    <t>Summary of Energy and Water Efficiency Measures Selected for Implementation</t>
  </si>
  <si>
    <t>Energy and Water Efficiency Measures Selected for Implementation</t>
  </si>
  <si>
    <t>Description of Energy and Water Efficiency Measures</t>
  </si>
  <si>
    <t>If yes, please use the recommendations from the Solar PV Assessment in your EWEM recommendation, and include the Solar PV Assessment as Exhibit F to the HPB Report. If not, use PV Watts to estimate the anticipated annual system production.</t>
  </si>
  <si>
    <t>Description of the Energy and Water Efficiency Measure</t>
  </si>
  <si>
    <t>Energy and Water Efficiency Measure Category</t>
  </si>
  <si>
    <t>Type of Energy and Water Efficiency Measure</t>
  </si>
  <si>
    <t>Description of the Selected Energy and Water Efficiency Measure</t>
  </si>
  <si>
    <t>ExistingAnnualUsage_kGal</t>
  </si>
  <si>
    <t>ProposedAnnualUsage_kGal</t>
  </si>
  <si>
    <t>AnnualSavings_kGal</t>
  </si>
  <si>
    <t>Replace roof</t>
  </si>
  <si>
    <r>
      <rPr>
        <b/>
        <sz val="11"/>
        <color rgb="FF0070C0"/>
        <rFont val="Calibri"/>
        <family val="2"/>
        <scheme val="minor"/>
      </rPr>
      <t>Portfolio Manager Technical Reference: Source Energy, August 2018</t>
    </r>
    <r>
      <rPr>
        <sz val="11"/>
        <color rgb="FF0070C0"/>
        <rFont val="Calibri"/>
        <family val="2"/>
        <scheme val="minor"/>
      </rPr>
      <t xml:space="preserve"> (https://portfoliomanager.energystar.gov/pdf/reference/Source%20Energy.pdf)</t>
    </r>
  </si>
  <si>
    <r>
      <rPr>
        <b/>
        <sz val="11"/>
        <color rgb="FF0070C0"/>
        <rFont val="Calibri"/>
        <family val="2"/>
        <scheme val="minor"/>
      </rPr>
      <t>Portfolio Manager Technical Reference: Greenhouse Gas Emissions, August 2018</t>
    </r>
    <r>
      <rPr>
        <sz val="11"/>
        <color rgb="FF0070C0"/>
        <rFont val="Calibri"/>
        <family val="2"/>
        <scheme val="minor"/>
      </rPr>
      <t xml:space="preserve"> (https://portfoliomanager.energystar.gov/pdf/reference/Emissions.pdf)</t>
    </r>
  </si>
  <si>
    <t>Sum of Energy and Water Savings</t>
  </si>
  <si>
    <t xml:space="preserve">2)  Indicate all Energy and Water Efficiency Measures selected for implementation by the Borrower. Verify that the selected Energy and Water Efficiency Measures result in at least 15% source energy savings AND the sum of energy and water savings equals at least 30%. </t>
  </si>
  <si>
    <t>Property</t>
  </si>
  <si>
    <t>Unit breakdown and occupancy</t>
  </si>
  <si>
    <t>Install WaterSense low-flush toilets</t>
  </si>
  <si>
    <t>Install WaterSense low-flow bath faucets/aerators</t>
  </si>
  <si>
    <t>Install low-flow kitchen faucets/aerators</t>
  </si>
  <si>
    <t>Install WaterSense low-flow showerheads</t>
  </si>
  <si>
    <t>***Yellow highlighted cells above do not represent values reflected in "DB-" sheets used for C&amp;D data capture. Background data for EWEMs with these EWEM types use corresponding allowable values from previous versions of 4099H [as per Green team request July 2019].***</t>
  </si>
  <si>
    <t>Install smart thermostats</t>
  </si>
  <si>
    <t>September, 2019</t>
  </si>
  <si>
    <t>Sep19</t>
  </si>
  <si>
    <t>Install thermostatic showerhead valves and/or tub diverters</t>
  </si>
  <si>
    <t>GeneratedElectricityUsedOnsite_kBtu</t>
  </si>
  <si>
    <t>TotalElectricityGenerated_kBtu</t>
  </si>
  <si>
    <t>ExpectedAverageAnnualProduction_kBtu</t>
  </si>
  <si>
    <t>Greystone Servicing Company LLC</t>
  </si>
  <si>
    <t>Berkadia Commercial Mortgage, LLC</t>
  </si>
  <si>
    <t>Capital One, National Association</t>
  </si>
  <si>
    <t>Hunt Real Estate Capital</t>
  </si>
  <si>
    <t>JPMorgan Chase Bank</t>
  </si>
  <si>
    <t>Merchants Capital Corp.</t>
  </si>
  <si>
    <t>Newmark Knight Frank</t>
  </si>
  <si>
    <t>NorthMarq Capital</t>
  </si>
  <si>
    <t>Orix Real Estate Capital, LLC</t>
  </si>
  <si>
    <t>Regions</t>
  </si>
  <si>
    <t>Sabal Capital Partners, LLC</t>
  </si>
  <si>
    <t>Form 4099.H – 
Analysis Tool for a High Performance Building Report</t>
  </si>
  <si>
    <r>
      <t xml:space="preserve">Lender Validation tab:  </t>
    </r>
    <r>
      <rPr>
        <sz val="9"/>
        <color theme="1"/>
        <rFont val="Source Sans Pro"/>
        <family val="2"/>
      </rPr>
      <t xml:space="preserve">The Lender identifies an HPB Report Rating, notes the selected Energy and Water Efficiency Measures (EWEM), and verifies the Savings Underwriting. </t>
    </r>
  </si>
  <si>
    <r>
      <t>QC tab:</t>
    </r>
    <r>
      <rPr>
        <sz val="9"/>
        <color theme="1"/>
        <rFont val="Source Sans Pro"/>
        <family val="2"/>
      </rPr>
      <t xml:space="preserve">  After the rest of the workbook has been completed, the Lender and HPB Consultant use this tab to review and address error alerts.</t>
    </r>
  </si>
  <si>
    <r>
      <t xml:space="preserve">INPUT tabs: </t>
    </r>
    <r>
      <rPr>
        <sz val="9"/>
        <color theme="1"/>
        <rFont val="Source Sans Pro"/>
        <family val="2"/>
      </rPr>
      <t xml:space="preserve">The HPB Consultant is responsible for entering complete and accurate project information in these tabs. The Water Calculator must be used for calculating and showing water efficiency measure savings. </t>
    </r>
  </si>
  <si>
    <r>
      <t>REPORT tabs:</t>
    </r>
    <r>
      <rPr>
        <sz val="9"/>
        <color theme="1"/>
        <rFont val="Source Sans Pro"/>
        <family val="2"/>
      </rPr>
      <t xml:space="preserve"> These tables will be automatically populated with data from the Input tabs. The HPB Consultant must paste the resulting tables into the HPB Report.</t>
    </r>
  </si>
  <si>
    <r>
      <t xml:space="preserve">REFERENCE tab:  </t>
    </r>
    <r>
      <rPr>
        <sz val="9"/>
        <color theme="1"/>
        <rFont val="Source Sans Pro"/>
        <family val="2"/>
      </rPr>
      <t>List of categories and names for Energy and Water Efficiency Measures.</t>
    </r>
  </si>
  <si>
    <r>
      <t xml:space="preserve">Enter required project information in the </t>
    </r>
    <r>
      <rPr>
        <b/>
        <sz val="10"/>
        <color theme="1"/>
        <rFont val="Source Sans Pro"/>
        <family val="2"/>
      </rPr>
      <t>Input tabs</t>
    </r>
    <r>
      <rPr>
        <sz val="10"/>
        <color theme="1"/>
        <rFont val="Source Sans Pro"/>
        <family val="2"/>
      </rPr>
      <t xml:space="preserve">. Use the Water Historical Consumption and Projected Savings Calculator in </t>
    </r>
    <r>
      <rPr>
        <b/>
        <sz val="10"/>
        <color theme="1"/>
        <rFont val="Source Sans Pro"/>
        <family val="2"/>
      </rPr>
      <t>Input-Water Calc</t>
    </r>
    <r>
      <rPr>
        <sz val="10"/>
        <color theme="1"/>
        <rFont val="Source Sans Pro"/>
        <family val="2"/>
      </rPr>
      <t xml:space="preserve"> to calculate flow/flush fixture and appliance savings, and show other water efficiency measure savings. </t>
    </r>
  </si>
  <si>
    <r>
      <t xml:space="preserve">In the </t>
    </r>
    <r>
      <rPr>
        <b/>
        <sz val="10"/>
        <color theme="1"/>
        <rFont val="Source Sans Pro"/>
        <family val="2"/>
      </rPr>
      <t>Check Errors</t>
    </r>
    <r>
      <rPr>
        <sz val="10"/>
        <color theme="1"/>
        <rFont val="Source Sans Pro"/>
        <family val="2"/>
      </rPr>
      <t xml:space="preserve"> tab, review any QC alerts and address all issues in the space provided. </t>
    </r>
  </si>
  <si>
    <r>
      <t>Review each table in the</t>
    </r>
    <r>
      <rPr>
        <b/>
        <sz val="10"/>
        <color theme="1"/>
        <rFont val="Source Sans Pro"/>
        <family val="2"/>
      </rPr>
      <t xml:space="preserve"> Report tabs </t>
    </r>
    <r>
      <rPr>
        <sz val="10"/>
        <color theme="1"/>
        <rFont val="Source Sans Pro"/>
        <family val="2"/>
      </rPr>
      <t>and adjust formatting as needed. Copy and paste tables from Report tabs into the HPB Report according to instructions in Form 4099.</t>
    </r>
  </si>
  <si>
    <r>
      <t xml:space="preserve">Review all </t>
    </r>
    <r>
      <rPr>
        <b/>
        <sz val="10"/>
        <color theme="1"/>
        <rFont val="Source Sans Pro"/>
        <family val="2"/>
      </rPr>
      <t>Input tabs</t>
    </r>
    <r>
      <rPr>
        <sz val="10"/>
        <color theme="1"/>
        <rFont val="Source Sans Pro"/>
        <family val="2"/>
      </rPr>
      <t xml:space="preserve"> for completeness. Any yellow fields indicate required information that must be filled out.</t>
    </r>
  </si>
  <si>
    <r>
      <t xml:space="preserve">In the </t>
    </r>
    <r>
      <rPr>
        <b/>
        <sz val="10"/>
        <color theme="1"/>
        <rFont val="Source Sans Pro"/>
        <family val="2"/>
      </rPr>
      <t>Check Errors</t>
    </r>
    <r>
      <rPr>
        <sz val="10"/>
        <color theme="1"/>
        <rFont val="Source Sans Pro"/>
        <family val="2"/>
      </rPr>
      <t xml:space="preserve"> tab, review any QC alerts and responses from the HPB Consultant.</t>
    </r>
  </si>
  <si>
    <r>
      <t xml:space="preserve">Complete the </t>
    </r>
    <r>
      <rPr>
        <b/>
        <sz val="10"/>
        <color theme="1"/>
        <rFont val="Source Sans Pro"/>
        <family val="2"/>
      </rPr>
      <t>Lender Validation tab</t>
    </r>
    <r>
      <rPr>
        <sz val="10"/>
        <color theme="1"/>
        <rFont val="Source Sans Pro"/>
        <family val="2"/>
      </rPr>
      <t>. Indicate the Energy and Water Efficiency Measures selected for implementation, verify program eligibility, and score the report quality.</t>
    </r>
  </si>
  <si>
    <r>
      <t xml:space="preserve">Instructions: </t>
    </r>
    <r>
      <rPr>
        <i/>
        <sz val="10"/>
        <color theme="1"/>
        <rFont val="Source Sans Pro"/>
        <family val="2"/>
      </rPr>
      <t xml:space="preserve"> Check all required (yellow) fields throughout workbook have been completed. HPB Consultant must respond to any QC Alerts in column G.</t>
    </r>
  </si>
  <si>
    <r>
      <t xml:space="preserve">Instructions:  </t>
    </r>
    <r>
      <rPr>
        <i/>
        <sz val="10"/>
        <color theme="1"/>
        <rFont val="Source Sans Pro"/>
        <family val="2"/>
      </rPr>
      <t>Enter project details and basic property information. Yellow fields indicate required information. White fields are optional.</t>
    </r>
  </si>
  <si>
    <r>
      <rPr>
        <b/>
        <i/>
        <sz val="10"/>
        <color theme="1"/>
        <rFont val="Source Sans Pro"/>
        <family val="2"/>
      </rPr>
      <t>Instructions:</t>
    </r>
    <r>
      <rPr>
        <i/>
        <sz val="10"/>
        <color theme="1"/>
        <rFont val="Source Sans Pro"/>
        <family val="2"/>
      </rPr>
      <t xml:space="preserve">  Enter metering, payer, and historical cost and consumption data for the whole property. Yellow fields indicate required information. Enter information in white fields when applicable. If your project uses a utility type not listed or more than can be shown in the table, contact Fannie Mae for instructions to customize this form. </t>
    </r>
  </si>
  <si>
    <r>
      <rPr>
        <b/>
        <i/>
        <sz val="10"/>
        <color theme="1"/>
        <rFont val="Source Sans Pro"/>
        <family val="2"/>
      </rPr>
      <t xml:space="preserve">Instructions: </t>
    </r>
    <r>
      <rPr>
        <i/>
        <sz val="10"/>
        <color theme="1"/>
        <rFont val="Source Sans Pro"/>
        <family val="2"/>
      </rPr>
      <t>Water consumption and savings for water efficiency measures must be calculated using this calculator.
All yellow fields must be completed (enter "0" or "n/a" as necessary).</t>
    </r>
  </si>
  <si>
    <r>
      <rPr>
        <b/>
        <i/>
        <sz val="10"/>
        <color theme="1"/>
        <rFont val="Source Sans Pro"/>
        <family val="2"/>
      </rPr>
      <t>Instructions:</t>
    </r>
    <r>
      <rPr>
        <i/>
        <sz val="10"/>
        <color theme="1"/>
        <rFont val="Source Sans Pro"/>
        <family val="2"/>
      </rPr>
      <t xml:space="preserve">  Solar PV potential must be calculated using this spreadsheet and the PV Watts calculator (https://pvwatts.nrel.gov). Additional assessment tools and resources may also be used to supplement PV Watts.
All yellow fields must be completed (enter "0" or "n/a" as necessary).</t>
    </r>
  </si>
  <si>
    <r>
      <t xml:space="preserve">If solar PV installation has </t>
    </r>
    <r>
      <rPr>
        <b/>
        <u/>
        <sz val="9"/>
        <rFont val="Source Sans Pro"/>
        <family val="2"/>
      </rPr>
      <t>not</t>
    </r>
    <r>
      <rPr>
        <b/>
        <sz val="9"/>
        <rFont val="Source Sans Pro"/>
        <family val="2"/>
      </rPr>
      <t xml:space="preserve"> been recommended as an Energy and Water Efficiency Measure, provide the primary reason(s):</t>
    </r>
  </si>
  <si>
    <r>
      <rPr>
        <b/>
        <i/>
        <sz val="10"/>
        <color theme="1"/>
        <rFont val="Source Sans Pro"/>
        <family val="2"/>
      </rPr>
      <t xml:space="preserve">Instructions: </t>
    </r>
    <r>
      <rPr>
        <i/>
        <sz val="10"/>
        <color theme="1"/>
        <rFont val="Source Sans Pro"/>
        <family val="2"/>
      </rPr>
      <t xml:space="preserve"> Enter all energy and water efficiency measures recommended at the property. Yellow fields indicate required information.</t>
    </r>
  </si>
  <si>
    <r>
      <rPr>
        <b/>
        <i/>
        <sz val="10"/>
        <color theme="1"/>
        <rFont val="Source Sans Pro"/>
        <family val="2"/>
      </rPr>
      <t xml:space="preserve">Instructions: </t>
    </r>
    <r>
      <rPr>
        <i/>
        <sz val="10"/>
        <color theme="1"/>
        <rFont val="Source Sans Pro"/>
        <family val="2"/>
      </rPr>
      <t xml:space="preserve"> Complete this section </t>
    </r>
    <r>
      <rPr>
        <i/>
        <u/>
        <sz val="10"/>
        <color theme="1"/>
        <rFont val="Source Sans Pro"/>
        <family val="2"/>
      </rPr>
      <t>only if</t>
    </r>
    <r>
      <rPr>
        <i/>
        <sz val="10"/>
        <color theme="1"/>
        <rFont val="Source Sans Pro"/>
        <family val="2"/>
      </rPr>
      <t xml:space="preserve"> requested by the Lender/Owner. Complete only for the Energy and Water Efficiency Measures that must be adjusted by first selecting the EWEM number.</t>
    </r>
  </si>
  <si>
    <r>
      <rPr>
        <b/>
        <i/>
        <sz val="10"/>
        <color theme="1"/>
        <rFont val="Source Sans Pro"/>
        <family val="2"/>
      </rPr>
      <t xml:space="preserve">Instructions: </t>
    </r>
    <r>
      <rPr>
        <i/>
        <sz val="10"/>
        <color theme="1"/>
        <rFont val="Source Sans Pro"/>
        <family val="2"/>
      </rPr>
      <t>This table will populate from the preceding input tabs. Hide inapplicable rows (as indicated in column K) and adjust row heights as needed before copying table into report.</t>
    </r>
  </si>
  <si>
    <r>
      <rPr>
        <b/>
        <i/>
        <sz val="10"/>
        <color theme="1"/>
        <rFont val="Source Sans Pro"/>
        <family val="2"/>
      </rPr>
      <t xml:space="preserve">Instructions: </t>
    </r>
    <r>
      <rPr>
        <i/>
        <sz val="10"/>
        <color theme="1"/>
        <rFont val="Source Sans Pro"/>
        <family val="2"/>
      </rPr>
      <t>This table will populate with the Recommended Energy and Water Efficiency Measures from the preceding input tabs. Hide inapplicable rows (as indicated in column I) and adjust row heights as needed before copying table into report.</t>
    </r>
  </si>
  <si>
    <r>
      <rPr>
        <b/>
        <i/>
        <sz val="10"/>
        <color theme="1"/>
        <rFont val="Source Sans Pro"/>
        <family val="2"/>
      </rPr>
      <t xml:space="preserve">Instructions: </t>
    </r>
    <r>
      <rPr>
        <i/>
        <sz val="10"/>
        <color theme="1"/>
        <rFont val="Source Sans Pro"/>
        <family val="2"/>
      </rPr>
      <t>This table will populate with the Recommended Energy and Water Efficiency Measures from the preceding input tabs. Hide inapplicable rows and columns (as indicated in row 32 and column K) and adjust row heights as needed before copying table into report.</t>
    </r>
  </si>
  <si>
    <r>
      <t xml:space="preserve">Note: </t>
    </r>
    <r>
      <rPr>
        <i/>
        <sz val="10"/>
        <color theme="1"/>
        <rFont val="Source Sans Pro"/>
        <family val="2"/>
      </rPr>
      <t>This sheet exists only as a reference for users to view available EWEM categories and Energy and Water Efficiency Measures.</t>
    </r>
  </si>
  <si>
    <t>4099H</t>
  </si>
  <si>
    <t>AllowableUWOwnerCostSavings</t>
  </si>
  <si>
    <t>AllowableUWTenantCostSavings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</si>
</sst>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00"/>
    <numFmt numFmtId="168" formatCode="0.0"/>
    <numFmt numFmtId="169" formatCode="#,##0.0"/>
  </numFmts>
  <fonts count="83">
    <font>
      <sz val="11"/>
      <color theme="1"/>
      <name val="Calibri"/>
      <family val="2"/>
      <scheme val="minor"/>
    </font>
    <font>
      <sz val="11"/>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sz val="18"/>
      <color theme="1"/>
      <name val="Calibri"/>
      <family val="2"/>
      <scheme val="minor"/>
    </font>
    <font>
      <i/>
      <sz val="14"/>
      <color theme="1"/>
      <name val="Calibri"/>
      <family val="2"/>
      <scheme val="minor"/>
    </font>
    <font>
      <u/>
      <sz val="11"/>
      <color theme="10"/>
      <name val="Calibri"/>
      <family val="2"/>
      <scheme val="minor"/>
    </font>
    <font>
      <sz val="11"/>
      <color theme="1"/>
      <name val="Arial"/>
      <family val="2"/>
    </font>
    <font>
      <b/>
      <i/>
      <sz val="11"/>
      <color rgb="FFFF0000"/>
      <name val="Arial"/>
      <family val="2"/>
    </font>
    <font>
      <b/>
      <sz val="10"/>
      <name val="Arial"/>
      <family val="2"/>
    </font>
    <font>
      <sz val="9"/>
      <name val="Arial"/>
      <family val="2"/>
    </font>
    <font>
      <sz val="9"/>
      <color theme="1"/>
      <name val="Arial"/>
      <family val="2"/>
    </font>
    <font>
      <sz val="10"/>
      <color theme="1"/>
      <name val="Arial"/>
      <family val="2"/>
    </font>
    <font>
      <i/>
      <sz val="10"/>
      <color theme="1"/>
      <name val="Arial"/>
      <family val="2"/>
    </font>
    <font>
      <sz val="10"/>
      <name val="Arial"/>
      <family val="2"/>
    </font>
    <font>
      <b/>
      <sz val="9"/>
      <color theme="1"/>
      <name val="Arial"/>
      <family val="2"/>
    </font>
    <font>
      <sz val="9"/>
      <color rgb="FFFF0000"/>
      <name val="Arial"/>
      <family val="2"/>
    </font>
    <font>
      <b/>
      <sz val="9"/>
      <name val="Arial"/>
      <family val="2"/>
    </font>
    <font>
      <sz val="9"/>
      <color rgb="FF000000"/>
      <name val="Arial"/>
      <family val="2"/>
    </font>
    <font>
      <b/>
      <sz val="11"/>
      <color theme="0"/>
      <name val="Calibri"/>
      <family val="2"/>
      <scheme val="minor"/>
    </font>
    <font>
      <sz val="11"/>
      <color theme="0"/>
      <name val="Calibri"/>
      <family val="2"/>
      <scheme val="minor"/>
    </font>
    <font>
      <sz val="9"/>
      <color indexed="81"/>
      <name val="Tahoma"/>
      <family val="2"/>
    </font>
    <font>
      <b/>
      <sz val="9"/>
      <color indexed="81"/>
      <name val="Tahoma"/>
      <family val="2"/>
    </font>
    <font>
      <b/>
      <i/>
      <sz val="10"/>
      <color theme="1"/>
      <name val="Arial"/>
      <family val="2"/>
    </font>
    <font>
      <b/>
      <sz val="20"/>
      <color theme="1"/>
      <name val="Arial Narrow"/>
      <family val="2"/>
    </font>
    <font>
      <b/>
      <sz val="11"/>
      <name val="Calibri"/>
      <family val="2"/>
      <scheme val="minor"/>
    </font>
    <font>
      <b/>
      <sz val="10"/>
      <color theme="1"/>
      <name val="Arial"/>
      <family val="2"/>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9"/>
      <color rgb="FF00B050"/>
      <name val="Arial"/>
      <family val="2"/>
    </font>
    <font>
      <sz val="8"/>
      <color rgb="FF000000"/>
      <name val="Segoe UI"/>
      <family val="2"/>
    </font>
    <font>
      <sz val="11"/>
      <color rgb="FF0070C0"/>
      <name val="Calibri"/>
      <family val="2"/>
      <scheme val="minor"/>
    </font>
    <font>
      <b/>
      <sz val="11"/>
      <color rgb="FF0070C0"/>
      <name val="Calibri"/>
      <family val="2"/>
      <scheme val="minor"/>
    </font>
    <font>
      <sz val="11"/>
      <color theme="0"/>
      <name val="Source Sans Pro"/>
      <family val="2"/>
    </font>
    <font>
      <b/>
      <sz val="10"/>
      <color theme="1"/>
      <name val="Source Sans Pro"/>
      <family val="2"/>
    </font>
    <font>
      <b/>
      <i/>
      <sz val="11"/>
      <color rgb="FFFF0000"/>
      <name val="Source Sans Pro"/>
      <family val="2"/>
    </font>
    <font>
      <sz val="11"/>
      <color theme="1"/>
      <name val="Source Sans Pro"/>
      <family val="2"/>
    </font>
    <font>
      <b/>
      <sz val="20"/>
      <name val="Source Sans Pro"/>
      <family val="2"/>
    </font>
    <font>
      <b/>
      <sz val="16"/>
      <name val="Source Sans Pro"/>
      <family val="2"/>
    </font>
    <font>
      <b/>
      <sz val="11"/>
      <name val="Source Sans Pro"/>
      <family val="2"/>
    </font>
    <font>
      <sz val="11"/>
      <color theme="3"/>
      <name val="Source Sans Pro"/>
      <family val="2"/>
    </font>
    <font>
      <b/>
      <sz val="9"/>
      <color theme="0"/>
      <name val="Source Sans Pro"/>
      <family val="2"/>
    </font>
    <font>
      <b/>
      <sz val="9"/>
      <name val="Source Sans Pro"/>
      <family val="2"/>
    </font>
    <font>
      <sz val="9"/>
      <color theme="1"/>
      <name val="Source Sans Pro"/>
      <family val="2"/>
    </font>
    <font>
      <b/>
      <i/>
      <sz val="11"/>
      <color theme="3"/>
      <name val="Source Sans Pro"/>
      <family val="2"/>
    </font>
    <font>
      <sz val="10"/>
      <name val="Source Sans Pro"/>
      <family val="2"/>
    </font>
    <font>
      <sz val="10"/>
      <color theme="1"/>
      <name val="Source Sans Pro"/>
      <family val="2"/>
    </font>
    <font>
      <sz val="11"/>
      <name val="Source Sans Pro"/>
      <family val="2"/>
    </font>
    <font>
      <sz val="9"/>
      <name val="Source Sans Pro"/>
      <family val="2"/>
    </font>
    <font>
      <b/>
      <sz val="20"/>
      <color theme="1"/>
      <name val="Source Sans Pro"/>
      <family val="2"/>
    </font>
    <font>
      <b/>
      <i/>
      <sz val="10"/>
      <color theme="1"/>
      <name val="Source Sans Pro"/>
      <family val="2"/>
    </font>
    <font>
      <b/>
      <sz val="14"/>
      <name val="Source Sans Pro"/>
      <family val="2"/>
    </font>
    <font>
      <sz val="9"/>
      <color rgb="FFFF0000"/>
      <name val="Source Sans Pro"/>
      <family val="2"/>
    </font>
    <font>
      <b/>
      <sz val="11"/>
      <color theme="1"/>
      <name val="Source Sans Pro"/>
      <family val="2"/>
    </font>
    <font>
      <sz val="11"/>
      <color rgb="FFFF0000"/>
      <name val="Source Sans Pro"/>
      <family val="2"/>
    </font>
    <font>
      <i/>
      <sz val="10"/>
      <color theme="1"/>
      <name val="Source Sans Pro"/>
      <family val="2"/>
    </font>
    <font>
      <b/>
      <i/>
      <sz val="9"/>
      <color theme="0"/>
      <name val="Source Sans Pro"/>
      <family val="2"/>
    </font>
    <font>
      <i/>
      <sz val="9"/>
      <color rgb="FFFF0000"/>
      <name val="Source Sans Pro"/>
      <family val="2"/>
    </font>
    <font>
      <b/>
      <sz val="14"/>
      <color theme="1"/>
      <name val="Source Sans Pro"/>
      <family val="2"/>
    </font>
    <font>
      <sz val="18"/>
      <color theme="1"/>
      <name val="Source Sans Pro"/>
      <family val="2"/>
    </font>
    <font>
      <b/>
      <sz val="9"/>
      <color theme="1"/>
      <name val="Source Sans Pro"/>
      <family val="2"/>
    </font>
    <font>
      <b/>
      <sz val="9"/>
      <color theme="0" tint="-0.499984740745262"/>
      <name val="Source Sans Pro"/>
      <family val="2"/>
    </font>
    <font>
      <b/>
      <i/>
      <sz val="9"/>
      <color theme="1"/>
      <name val="Source Sans Pro"/>
      <family val="2"/>
    </font>
    <font>
      <i/>
      <sz val="9"/>
      <color theme="1"/>
      <name val="Source Sans Pro"/>
      <family val="2"/>
    </font>
    <font>
      <b/>
      <sz val="12"/>
      <name val="Source Sans Pro"/>
      <family val="2"/>
    </font>
    <font>
      <sz val="11"/>
      <color theme="9" tint="-0.249977111117893"/>
      <name val="Source Sans Pro"/>
      <family val="2"/>
    </font>
    <font>
      <b/>
      <sz val="11"/>
      <color rgb="FF92D050"/>
      <name val="Source Sans Pro"/>
      <family val="2"/>
    </font>
    <font>
      <b/>
      <i/>
      <sz val="9"/>
      <name val="Source Sans Pro"/>
      <family val="2"/>
    </font>
    <font>
      <b/>
      <sz val="10"/>
      <name val="Source Sans Pro"/>
      <family val="2"/>
    </font>
    <font>
      <sz val="9"/>
      <color theme="9" tint="-0.249977111117893"/>
      <name val="Source Sans Pro"/>
      <family val="2"/>
    </font>
    <font>
      <sz val="11"/>
      <color theme="9"/>
      <name val="Source Sans Pro"/>
      <family val="2"/>
    </font>
    <font>
      <sz val="9"/>
      <color rgb="FF000000"/>
      <name val="Source Sans Pro"/>
      <family val="2"/>
    </font>
    <font>
      <b/>
      <u/>
      <sz val="9"/>
      <name val="Source Sans Pro"/>
      <family val="2"/>
    </font>
    <font>
      <i/>
      <u/>
      <sz val="10"/>
      <color theme="1"/>
      <name val="Source Sans Pro"/>
      <family val="2"/>
    </font>
    <font>
      <b/>
      <sz val="13"/>
      <name val="Source Sans Pro"/>
      <family val="2"/>
    </font>
    <font>
      <b/>
      <i/>
      <sz val="9"/>
      <color rgb="FFFF0000"/>
      <name val="Source Sans Pro"/>
      <family val="2"/>
    </font>
  </fonts>
  <fills count="1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6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rgb="FF92D050"/>
        <bgColor indexed="64"/>
      </patternFill>
    </fill>
    <fill>
      <patternFill patternType="solid">
        <fgColor theme="0" tint="-0.499984740745262"/>
        <bgColor indexed="64"/>
      </patternFill>
    </fill>
    <fill>
      <patternFill patternType="solid">
        <fgColor theme="1"/>
        <bgColor indexed="64"/>
      </patternFill>
    </fill>
    <fill>
      <patternFill patternType="solid">
        <fgColor theme="4"/>
        <bgColor indexed="64"/>
      </patternFill>
    </fill>
    <fill>
      <patternFill patternType="solid">
        <fgColor theme="1" tint="0.149998474074526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2"/>
        <bgColor indexed="64"/>
      </patternFill>
    </fill>
  </fills>
  <borders count="15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theme="0" tint="-0.24994659260841701"/>
      </left>
      <right/>
      <top style="thin">
        <color theme="0" tint="-0.499984740745262"/>
      </top>
      <bottom style="thin">
        <color theme="0" tint="-0.24994659260841701"/>
      </bottom>
      <diagonal/>
    </border>
    <border>
      <left/>
      <right style="thin">
        <color theme="0" tint="-0.24994659260841701"/>
      </right>
      <top style="thin">
        <color theme="0" tint="-0.499984740745262"/>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499984740745262"/>
      </bottom>
      <diagonal/>
    </border>
    <border>
      <left/>
      <right style="thin">
        <color theme="0" tint="-0.24994659260841701"/>
      </right>
      <top style="thin">
        <color theme="0" tint="-0.24994659260841701"/>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24994659260841701"/>
      </bottom>
      <diagonal/>
    </border>
    <border>
      <left/>
      <right/>
      <top style="thin">
        <color theme="0" tint="-0.499984740745262"/>
      </top>
      <bottom style="thin">
        <color theme="0" tint="-0.24994659260841701"/>
      </bottom>
      <diagonal/>
    </border>
    <border>
      <left/>
      <right/>
      <top style="thin">
        <color theme="0" tint="-0.24994659260841701"/>
      </top>
      <bottom style="thin">
        <color theme="0" tint="-0.499984740745262"/>
      </bottom>
      <diagonal/>
    </border>
    <border>
      <left style="thin">
        <color theme="0" tint="-0.499984740745262"/>
      </left>
      <right/>
      <top style="thin">
        <color theme="0" tint="-0.24994659260841701"/>
      </top>
      <bottom style="thin">
        <color theme="0" tint="-0.499984740745262"/>
      </bottom>
      <diagonal/>
    </border>
    <border>
      <left style="thin">
        <color theme="0" tint="-0.499984740745262"/>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bottom style="thin">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style="hair">
        <color theme="0" tint="-0.24994659260841701"/>
      </top>
      <bottom style="double">
        <color theme="0" tint="-0.24994659260841701"/>
      </bottom>
      <diagonal/>
    </border>
    <border>
      <left style="thin">
        <color theme="0" tint="-0.24994659260841701"/>
      </left>
      <right style="thin">
        <color theme="0" tint="-0.24994659260841701"/>
      </right>
      <top style="double">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diagonal/>
    </border>
    <border>
      <left style="hair">
        <color indexed="64"/>
      </left>
      <right/>
      <top/>
      <bottom style="double">
        <color indexed="64"/>
      </bottom>
      <diagonal/>
    </border>
    <border>
      <left style="hair">
        <color indexed="64"/>
      </left>
      <right/>
      <top style="thin">
        <color indexed="64"/>
      </top>
      <bottom style="double">
        <color indexed="64"/>
      </bottom>
      <diagonal/>
    </border>
    <border>
      <left/>
      <right style="hair">
        <color indexed="64"/>
      </right>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theme="0" tint="-0.24994659260841701"/>
      </left>
      <right style="thin">
        <color theme="0" tint="-0.24994659260841701"/>
      </right>
      <top/>
      <bottom/>
      <diagonal/>
    </border>
    <border>
      <left style="thin">
        <color indexed="64"/>
      </left>
      <right/>
      <top style="hair">
        <color indexed="64"/>
      </top>
      <bottom style="double">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64"/>
      </top>
      <bottom/>
      <diagonal/>
    </border>
    <border>
      <left style="thin">
        <color theme="0" tint="-0.24994659260841701"/>
      </left>
      <right style="thin">
        <color theme="0" tint="-0.24994659260841701"/>
      </right>
      <top style="double">
        <color theme="0" tint="-0.24994659260841701"/>
      </top>
      <bottom style="hair">
        <color theme="0" tint="-0.24994659260841701"/>
      </bottom>
      <diagonal/>
    </border>
  </borders>
  <cellStyleXfs count="8">
    <xf numFmtId="0" fontId="0" fillId="0" borderId="0"/>
    <xf numFmtId="4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 fillId="0" borderId="0" applyNumberFormat="0" applyFill="0" applyBorder="0" applyAlignment="0" applyProtection="0"/>
    <xf numFmtId="0" fontId="2" fillId="0" borderId="0"/>
    <xf numFmtId="0" fontId="15" fillId="0" borderId="0"/>
  </cellStyleXfs>
  <cellXfs count="1051">
    <xf numFmtId="0" fontId="0" fillId="0" borderId="0" xfId="0"/>
    <xf numFmtId="0" fontId="0" fillId="0" borderId="0" xfId="0" applyFill="1"/>
    <xf numFmtId="0" fontId="0" fillId="0" borderId="0" xfId="0" applyAlignment="1">
      <alignment wrapText="1"/>
    </xf>
    <xf numFmtId="0" fontId="0" fillId="0" borderId="4" xfId="0" applyBorder="1"/>
    <xf numFmtId="0" fontId="0" fillId="0" borderId="0" xfId="0" applyBorder="1"/>
    <xf numFmtId="0" fontId="3" fillId="0" borderId="0" xfId="0" applyFont="1"/>
    <xf numFmtId="0" fontId="3" fillId="0" borderId="0" xfId="0" applyFont="1" applyAlignment="1">
      <alignment wrapText="1"/>
    </xf>
    <xf numFmtId="0" fontId="0" fillId="0" borderId="9" xfId="0" applyBorder="1" applyAlignment="1">
      <alignment horizontal="center"/>
    </xf>
    <xf numFmtId="0" fontId="4" fillId="0" borderId="0" xfId="0" applyFont="1" applyFill="1"/>
    <xf numFmtId="0" fontId="0" fillId="0" borderId="1" xfId="0" applyFill="1" applyBorder="1"/>
    <xf numFmtId="0" fontId="3" fillId="0" borderId="7" xfId="0" applyFont="1" applyFill="1" applyBorder="1" applyAlignment="1">
      <alignment horizontal="center" wrapText="1"/>
    </xf>
    <xf numFmtId="0" fontId="3" fillId="0" borderId="2" xfId="0" applyFont="1" applyFill="1" applyBorder="1" applyAlignment="1">
      <alignment horizontal="center" wrapText="1"/>
    </xf>
    <xf numFmtId="0" fontId="0" fillId="0" borderId="11" xfId="0" applyFill="1" applyBorder="1" applyAlignment="1">
      <alignment horizontal="center"/>
    </xf>
    <xf numFmtId="3" fontId="0" fillId="0" borderId="10" xfId="0" applyNumberFormat="1" applyFill="1" applyBorder="1" applyAlignment="1">
      <alignment horizontal="center"/>
    </xf>
    <xf numFmtId="4" fontId="0" fillId="0" borderId="10" xfId="0" applyNumberFormat="1" applyFill="1" applyBorder="1" applyAlignment="1">
      <alignment horizontal="center"/>
    </xf>
    <xf numFmtId="0" fontId="0" fillId="0" borderId="10" xfId="0" applyFill="1" applyBorder="1" applyAlignment="1">
      <alignment horizontal="center"/>
    </xf>
    <xf numFmtId="0" fontId="0" fillId="0" borderId="3" xfId="0" applyFill="1" applyBorder="1" applyAlignment="1">
      <alignment horizontal="center"/>
    </xf>
    <xf numFmtId="0" fontId="0" fillId="0" borderId="9" xfId="0" applyFill="1" applyBorder="1" applyAlignment="1">
      <alignment horizontal="center"/>
    </xf>
    <xf numFmtId="3" fontId="0" fillId="0" borderId="0" xfId="0" applyNumberFormat="1" applyFill="1" applyBorder="1" applyAlignment="1">
      <alignment horizontal="center"/>
    </xf>
    <xf numFmtId="4" fontId="0" fillId="0" borderId="0" xfId="0" applyNumberFormat="1"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3" fillId="0" borderId="6" xfId="0" applyFont="1" applyFill="1" applyBorder="1" applyAlignment="1">
      <alignment horizontal="center" wrapText="1"/>
    </xf>
    <xf numFmtId="1" fontId="0" fillId="0" borderId="0" xfId="0" applyNumberFormat="1" applyFill="1" applyBorder="1" applyAlignment="1">
      <alignment horizontal="center"/>
    </xf>
    <xf numFmtId="0" fontId="0" fillId="0" borderId="0" xfId="0" applyFill="1" applyAlignment="1">
      <alignment horizontal="left"/>
    </xf>
    <xf numFmtId="0" fontId="6" fillId="0" borderId="0" xfId="0" applyFont="1" applyFill="1"/>
    <xf numFmtId="0" fontId="8" fillId="0" borderId="0" xfId="0" applyFont="1"/>
    <xf numFmtId="0" fontId="8" fillId="0" borderId="0" xfId="0" applyFont="1" applyFill="1"/>
    <xf numFmtId="0" fontId="13" fillId="0" borderId="0" xfId="0" applyFont="1"/>
    <xf numFmtId="0" fontId="12" fillId="0" borderId="0" xfId="0" applyFont="1"/>
    <xf numFmtId="0" fontId="12" fillId="0" borderId="0" xfId="0" applyFont="1" applyFill="1"/>
    <xf numFmtId="0" fontId="9" fillId="0" borderId="0" xfId="0" applyFont="1" applyFill="1" applyAlignment="1">
      <alignment horizontal="left" wrapText="1"/>
    </xf>
    <xf numFmtId="0" fontId="8" fillId="0" borderId="0" xfId="0" applyFont="1" applyFill="1" applyBorder="1"/>
    <xf numFmtId="0" fontId="11" fillId="0" borderId="0" xfId="0" applyFont="1"/>
    <xf numFmtId="2" fontId="12" fillId="3" borderId="56" xfId="0" applyNumberFormat="1" applyFont="1" applyFill="1" applyBorder="1" applyAlignment="1" applyProtection="1">
      <alignment vertical="center" wrapText="1"/>
    </xf>
    <xf numFmtId="0" fontId="12" fillId="0" borderId="57" xfId="0" applyFont="1" applyFill="1" applyBorder="1" applyAlignment="1" applyProtection="1">
      <alignment vertical="center" wrapText="1"/>
    </xf>
    <xf numFmtId="2" fontId="12" fillId="3" borderId="58" xfId="0" applyNumberFormat="1" applyFont="1" applyFill="1" applyBorder="1" applyAlignment="1" applyProtection="1">
      <alignment vertical="center" wrapText="1"/>
    </xf>
    <xf numFmtId="0" fontId="12" fillId="0" borderId="59" xfId="0" applyFont="1" applyFill="1" applyBorder="1" applyAlignment="1" applyProtection="1">
      <alignment vertical="center" wrapText="1"/>
    </xf>
    <xf numFmtId="2" fontId="12" fillId="3" borderId="60" xfId="0" applyNumberFormat="1" applyFont="1" applyFill="1" applyBorder="1" applyAlignment="1" applyProtection="1">
      <alignment vertical="center" wrapText="1"/>
    </xf>
    <xf numFmtId="0" fontId="12" fillId="0" borderId="61" xfId="0" applyFont="1" applyFill="1" applyBorder="1" applyAlignment="1" applyProtection="1">
      <alignment vertical="center" wrapText="1"/>
    </xf>
    <xf numFmtId="1" fontId="12" fillId="3" borderId="56" xfId="0" applyNumberFormat="1" applyFont="1" applyFill="1" applyBorder="1" applyAlignment="1" applyProtection="1">
      <alignment vertical="center" wrapText="1"/>
    </xf>
    <xf numFmtId="1" fontId="12" fillId="3" borderId="58" xfId="0" applyNumberFormat="1" applyFont="1" applyFill="1" applyBorder="1" applyAlignment="1" applyProtection="1">
      <alignment vertical="center" wrapText="1"/>
    </xf>
    <xf numFmtId="1" fontId="12" fillId="3" borderId="60" xfId="0" applyNumberFormat="1" applyFont="1" applyFill="1" applyBorder="1" applyAlignment="1" applyProtection="1">
      <alignment vertical="center" wrapText="1"/>
    </xf>
    <xf numFmtId="0" fontId="18" fillId="6" borderId="0" xfId="7" applyNumberFormat="1" applyFont="1" applyFill="1" applyBorder="1" applyAlignment="1" applyProtection="1">
      <alignment vertical="top"/>
    </xf>
    <xf numFmtId="0" fontId="11" fillId="6" borderId="0" xfId="0" applyFont="1" applyFill="1" applyBorder="1" applyProtection="1"/>
    <xf numFmtId="0" fontId="11" fillId="6" borderId="0" xfId="7" applyNumberFormat="1" applyFont="1" applyFill="1" applyBorder="1" applyAlignment="1" applyProtection="1">
      <alignment vertical="top" wrapText="1"/>
    </xf>
    <xf numFmtId="0" fontId="11" fillId="6" borderId="0" xfId="6" applyFont="1" applyFill="1" applyBorder="1" applyProtection="1"/>
    <xf numFmtId="0" fontId="21" fillId="9" borderId="0" xfId="0" applyFont="1" applyFill="1"/>
    <xf numFmtId="0" fontId="20" fillId="9" borderId="0" xfId="0" applyFont="1" applyFill="1"/>
    <xf numFmtId="0" fontId="0" fillId="0" borderId="84" xfId="0" applyBorder="1"/>
    <xf numFmtId="0" fontId="11" fillId="0" borderId="0" xfId="0" applyFont="1" applyAlignment="1"/>
    <xf numFmtId="167" fontId="0" fillId="0" borderId="0" xfId="0" applyNumberFormat="1"/>
    <xf numFmtId="0" fontId="25" fillId="0" borderId="0" xfId="0" applyFont="1" applyFill="1" applyBorder="1"/>
    <xf numFmtId="0" fontId="16" fillId="0" borderId="26" xfId="0" applyFont="1" applyBorder="1"/>
    <xf numFmtId="0" fontId="12" fillId="0" borderId="26" xfId="0" applyFont="1" applyBorder="1"/>
    <xf numFmtId="0" fontId="3" fillId="0" borderId="0" xfId="0" applyFont="1" applyFill="1" applyBorder="1" applyAlignment="1">
      <alignment horizontal="center"/>
    </xf>
    <xf numFmtId="0" fontId="0" fillId="4" borderId="4" xfId="0" applyFill="1" applyBorder="1"/>
    <xf numFmtId="0" fontId="27" fillId="0" borderId="0" xfId="0" applyFont="1"/>
    <xf numFmtId="0" fontId="13" fillId="0" borderId="0" xfId="0" applyFont="1" applyBorder="1"/>
    <xf numFmtId="0" fontId="13" fillId="0" borderId="0" xfId="0" applyFont="1" applyAlignment="1">
      <alignment vertical="center"/>
    </xf>
    <xf numFmtId="0" fontId="13" fillId="0" borderId="0" xfId="0" applyFont="1" applyFill="1" applyBorder="1"/>
    <xf numFmtId="0" fontId="13" fillId="0" borderId="0" xfId="0" applyFont="1" applyAlignment="1">
      <alignment wrapText="1"/>
    </xf>
    <xf numFmtId="0" fontId="27" fillId="0" borderId="0" xfId="0" applyFont="1" applyFill="1" applyBorder="1" applyAlignment="1">
      <alignment horizontal="left" wrapText="1"/>
    </xf>
    <xf numFmtId="0" fontId="27" fillId="0" borderId="0" xfId="0" applyFont="1" applyAlignment="1">
      <alignment horizontal="left"/>
    </xf>
    <xf numFmtId="0" fontId="3" fillId="0" borderId="0" xfId="0" applyFont="1" applyBorder="1" applyAlignment="1"/>
    <xf numFmtId="0" fontId="10" fillId="0" borderId="0" xfId="0" applyFont="1" applyFill="1" applyBorder="1" applyAlignment="1">
      <alignment horizontal="left" wrapText="1"/>
    </xf>
    <xf numFmtId="0" fontId="13" fillId="0" borderId="0" xfId="0" applyFont="1" applyBorder="1" applyAlignment="1"/>
    <xf numFmtId="0" fontId="13" fillId="0" borderId="0" xfId="0" applyFont="1" applyFill="1" applyBorder="1" applyAlignment="1"/>
    <xf numFmtId="0" fontId="15" fillId="0" borderId="0" xfId="0" applyFont="1" applyFill="1" applyBorder="1"/>
    <xf numFmtId="0" fontId="28" fillId="0" borderId="0" xfId="0" applyFont="1"/>
    <xf numFmtId="0" fontId="29" fillId="0" borderId="0" xfId="0" applyFont="1"/>
    <xf numFmtId="0" fontId="30" fillId="0" borderId="0" xfId="0" applyFont="1"/>
    <xf numFmtId="0" fontId="31" fillId="0" borderId="0" xfId="0" applyFont="1"/>
    <xf numFmtId="0" fontId="0" fillId="17" borderId="0" xfId="0" applyFill="1"/>
    <xf numFmtId="0" fontId="28" fillId="2" borderId="0" xfId="0" applyFont="1" applyFill="1"/>
    <xf numFmtId="0" fontId="0" fillId="0" borderId="0" xfId="0" applyFont="1"/>
    <xf numFmtId="0" fontId="32" fillId="0" borderId="0" xfId="0" applyFont="1"/>
    <xf numFmtId="0" fontId="33" fillId="0" borderId="0" xfId="0" applyFont="1"/>
    <xf numFmtId="167" fontId="33" fillId="0" borderId="0" xfId="0" applyNumberFormat="1" applyFont="1"/>
    <xf numFmtId="0" fontId="35" fillId="0" borderId="0" xfId="0" applyFont="1"/>
    <xf numFmtId="0" fontId="35" fillId="0" borderId="0" xfId="0" applyFont="1" applyBorder="1"/>
    <xf numFmtId="3" fontId="35" fillId="0" borderId="0" xfId="0" applyNumberFormat="1" applyFont="1" applyBorder="1"/>
    <xf numFmtId="0" fontId="14" fillId="0" borderId="0" xfId="0" applyFont="1" applyFill="1" applyBorder="1" applyAlignment="1">
      <alignment wrapText="1"/>
    </xf>
    <xf numFmtId="0" fontId="16" fillId="0" borderId="26" xfId="0" applyFont="1" applyBorder="1" applyAlignment="1">
      <alignment horizontal="center"/>
    </xf>
    <xf numFmtId="0" fontId="8" fillId="0" borderId="0" xfId="0" applyFont="1" applyFill="1" applyAlignment="1">
      <alignment horizontal="center"/>
    </xf>
    <xf numFmtId="0" fontId="8" fillId="0" borderId="0" xfId="0" applyFont="1" applyFill="1" applyBorder="1" applyAlignment="1">
      <alignment horizontal="center"/>
    </xf>
    <xf numFmtId="0" fontId="11" fillId="0" borderId="0" xfId="0" applyFont="1" applyAlignment="1">
      <alignment horizontal="center"/>
    </xf>
    <xf numFmtId="0" fontId="12" fillId="0" borderId="0" xfId="0" applyFont="1" applyAlignment="1">
      <alignment horizontal="center"/>
    </xf>
    <xf numFmtId="0" fontId="9" fillId="0" borderId="0" xfId="0" applyFont="1" applyFill="1" applyAlignment="1">
      <alignment horizontal="center" wrapText="1"/>
    </xf>
    <xf numFmtId="0" fontId="9" fillId="0" borderId="0" xfId="0" applyFont="1" applyFill="1" applyBorder="1" applyAlignment="1">
      <alignment horizontal="center" wrapText="1"/>
    </xf>
    <xf numFmtId="2" fontId="12" fillId="0" borderId="0" xfId="0" applyNumberFormat="1" applyFont="1"/>
    <xf numFmtId="0" fontId="12" fillId="0" borderId="0" xfId="0" quotePrefix="1" applyFont="1" applyAlignment="1">
      <alignment horizontal="center"/>
    </xf>
    <xf numFmtId="0" fontId="12" fillId="0" borderId="0" xfId="0" applyFont="1" applyFill="1" applyAlignment="1">
      <alignment horizontal="center"/>
    </xf>
    <xf numFmtId="0" fontId="17" fillId="0" borderId="0" xfId="0" applyFont="1" applyAlignment="1">
      <alignment horizontal="center"/>
    </xf>
    <xf numFmtId="0" fontId="0" fillId="0" borderId="12" xfId="0" applyFill="1" applyBorder="1" applyAlignment="1">
      <alignment horizontal="center"/>
    </xf>
    <xf numFmtId="0" fontId="0" fillId="0" borderId="147" xfId="0" applyFill="1" applyBorder="1" applyAlignment="1">
      <alignment horizontal="center"/>
    </xf>
    <xf numFmtId="0" fontId="0" fillId="0" borderId="148" xfId="0" applyBorder="1" applyAlignment="1">
      <alignment horizontal="center"/>
    </xf>
    <xf numFmtId="0" fontId="0" fillId="0" borderId="149" xfId="0" applyBorder="1" applyAlignment="1">
      <alignment horizontal="center"/>
    </xf>
    <xf numFmtId="0" fontId="0" fillId="0" borderId="6" xfId="0" applyFill="1" applyBorder="1" applyAlignment="1">
      <alignment horizontal="center"/>
    </xf>
    <xf numFmtId="3" fontId="0" fillId="0" borderId="7" xfId="0" applyNumberFormat="1" applyFill="1" applyBorder="1" applyAlignment="1">
      <alignment horizontal="center"/>
    </xf>
    <xf numFmtId="4" fontId="0" fillId="0" borderId="7" xfId="0" applyNumberFormat="1" applyFill="1" applyBorder="1" applyAlignment="1">
      <alignment horizontal="center"/>
    </xf>
    <xf numFmtId="0" fontId="0" fillId="0" borderId="7" xfId="0" applyFill="1" applyBorder="1" applyAlignment="1">
      <alignment horizontal="center"/>
    </xf>
    <xf numFmtId="0" fontId="0" fillId="0" borderId="2" xfId="0" applyFill="1" applyBorder="1" applyAlignment="1">
      <alignment horizontal="center"/>
    </xf>
    <xf numFmtId="0" fontId="0" fillId="0" borderId="0" xfId="0" applyFill="1" applyAlignment="1">
      <alignment horizontal="center"/>
    </xf>
    <xf numFmtId="0" fontId="3" fillId="0" borderId="0" xfId="0" applyFont="1" applyBorder="1"/>
    <xf numFmtId="0" fontId="0" fillId="5" borderId="72" xfId="0" applyFill="1" applyBorder="1"/>
    <xf numFmtId="0" fontId="3" fillId="5" borderId="71" xfId="0" applyFont="1" applyFill="1" applyBorder="1"/>
    <xf numFmtId="0" fontId="3" fillId="5" borderId="71" xfId="0" applyFont="1" applyFill="1" applyBorder="1" applyAlignment="1">
      <alignment horizontal="right"/>
    </xf>
    <xf numFmtId="0" fontId="0" fillId="5" borderId="71" xfId="0" applyFill="1" applyBorder="1" applyAlignment="1">
      <alignment horizontal="right"/>
    </xf>
    <xf numFmtId="0" fontId="0" fillId="5" borderId="85" xfId="0" applyFill="1" applyBorder="1" applyAlignment="1">
      <alignment horizontal="right"/>
    </xf>
    <xf numFmtId="0" fontId="3" fillId="5" borderId="4" xfId="0" applyFont="1" applyFill="1" applyBorder="1" applyAlignment="1">
      <alignment horizontal="center"/>
    </xf>
    <xf numFmtId="0" fontId="0" fillId="5" borderId="135" xfId="0" applyFill="1" applyBorder="1"/>
    <xf numFmtId="0" fontId="0" fillId="5" borderId="82" xfId="0" applyFill="1" applyBorder="1"/>
    <xf numFmtId="0" fontId="3" fillId="0" borderId="4" xfId="0" applyFont="1" applyFill="1" applyBorder="1"/>
    <xf numFmtId="0" fontId="3" fillId="0" borderId="4" xfId="0" applyFont="1" applyBorder="1"/>
    <xf numFmtId="0" fontId="26" fillId="0" borderId="4" xfId="0" applyFont="1" applyBorder="1"/>
    <xf numFmtId="0" fontId="0" fillId="0" borderId="4" xfId="0" applyFill="1" applyBorder="1"/>
    <xf numFmtId="9" fontId="0" fillId="0" borderId="0" xfId="3" applyFont="1" applyBorder="1"/>
    <xf numFmtId="0" fontId="3" fillId="0" borderId="82" xfId="0" applyFont="1" applyBorder="1"/>
    <xf numFmtId="9" fontId="0" fillId="0" borderId="4" xfId="3" applyFont="1" applyBorder="1"/>
    <xf numFmtId="0" fontId="32" fillId="16" borderId="4" xfId="0" applyFont="1" applyFill="1" applyBorder="1"/>
    <xf numFmtId="0" fontId="32" fillId="0" borderId="4" xfId="0" applyFont="1" applyFill="1" applyBorder="1"/>
    <xf numFmtId="0" fontId="32" fillId="0" borderId="4" xfId="0" applyFont="1" applyBorder="1"/>
    <xf numFmtId="0" fontId="33" fillId="0" borderId="4" xfId="0" applyFont="1" applyBorder="1"/>
    <xf numFmtId="0" fontId="33" fillId="0" borderId="4" xfId="0" applyFont="1" applyFill="1" applyBorder="1"/>
    <xf numFmtId="14" fontId="33" fillId="0" borderId="4" xfId="0" applyNumberFormat="1" applyFont="1" applyFill="1" applyBorder="1"/>
    <xf numFmtId="14" fontId="33" fillId="0" borderId="4" xfId="0" applyNumberFormat="1" applyFont="1" applyBorder="1"/>
    <xf numFmtId="16" fontId="3" fillId="0" borderId="4" xfId="0" quotePrefix="1" applyNumberFormat="1" applyFont="1" applyFill="1" applyBorder="1"/>
    <xf numFmtId="0" fontId="34" fillId="0" borderId="4" xfId="0" applyFont="1" applyBorder="1"/>
    <xf numFmtId="0" fontId="35" fillId="0" borderId="4" xfId="0" applyFont="1" applyBorder="1"/>
    <xf numFmtId="3" fontId="35" fillId="0" borderId="4" xfId="0" applyNumberFormat="1" applyFont="1" applyBorder="1"/>
    <xf numFmtId="0" fontId="35" fillId="8" borderId="4" xfId="0" applyFont="1" applyFill="1" applyBorder="1"/>
    <xf numFmtId="3" fontId="0" fillId="5" borderId="33" xfId="0" applyNumberFormat="1" applyFill="1" applyBorder="1"/>
    <xf numFmtId="0" fontId="0" fillId="5" borderId="50" xfId="0" applyFill="1" applyBorder="1"/>
    <xf numFmtId="0" fontId="3" fillId="5" borderId="8" xfId="0" applyFont="1" applyFill="1" applyBorder="1"/>
    <xf numFmtId="0" fontId="3" fillId="5" borderId="27" xfId="0" applyFont="1" applyFill="1" applyBorder="1"/>
    <xf numFmtId="0" fontId="17" fillId="0" borderId="0" xfId="0" quotePrefix="1" applyNumberFormat="1" applyFont="1" applyAlignment="1">
      <alignment horizontal="center"/>
    </xf>
    <xf numFmtId="0" fontId="36" fillId="0" borderId="0" xfId="0" applyFont="1" applyAlignment="1">
      <alignment horizontal="center"/>
    </xf>
    <xf numFmtId="0" fontId="36" fillId="0" borderId="0" xfId="0" applyFont="1" applyFill="1" applyAlignment="1">
      <alignment horizontal="center"/>
    </xf>
    <xf numFmtId="14" fontId="0" fillId="0" borderId="4" xfId="0" applyNumberFormat="1" applyBorder="1"/>
    <xf numFmtId="0" fontId="0" fillId="0" borderId="0" xfId="0" applyFont="1" applyFill="1"/>
    <xf numFmtId="0" fontId="0" fillId="16" borderId="0" xfId="0" applyFill="1"/>
    <xf numFmtId="0" fontId="5" fillId="16" borderId="0" xfId="0" applyFont="1" applyFill="1"/>
    <xf numFmtId="0" fontId="0" fillId="16" borderId="9" xfId="0" applyFill="1" applyBorder="1" applyAlignment="1">
      <alignment horizontal="center"/>
    </xf>
    <xf numFmtId="3" fontId="0" fillId="16" borderId="0" xfId="0" applyNumberFormat="1" applyFill="1" applyBorder="1" applyAlignment="1">
      <alignment horizontal="center"/>
    </xf>
    <xf numFmtId="4" fontId="0" fillId="16" borderId="0" xfId="0" applyNumberFormat="1" applyFill="1" applyBorder="1" applyAlignment="1">
      <alignment horizontal="center"/>
    </xf>
    <xf numFmtId="0" fontId="0" fillId="16" borderId="0" xfId="0" applyFill="1" applyBorder="1" applyAlignment="1">
      <alignment horizontal="center"/>
    </xf>
    <xf numFmtId="0" fontId="0" fillId="16" borderId="5" xfId="0" applyFill="1" applyBorder="1" applyAlignment="1">
      <alignment horizontal="center"/>
    </xf>
    <xf numFmtId="0" fontId="0" fillId="16" borderId="11" xfId="0" applyFill="1" applyBorder="1" applyAlignment="1">
      <alignment horizontal="center"/>
    </xf>
    <xf numFmtId="3" fontId="0" fillId="16" borderId="10" xfId="0" applyNumberFormat="1" applyFill="1" applyBorder="1" applyAlignment="1">
      <alignment horizontal="center"/>
    </xf>
    <xf numFmtId="4" fontId="0" fillId="16" borderId="10" xfId="0" applyNumberFormat="1" applyFill="1" applyBorder="1" applyAlignment="1">
      <alignment horizontal="center"/>
    </xf>
    <xf numFmtId="0" fontId="0" fillId="16" borderId="10" xfId="0" applyFill="1" applyBorder="1" applyAlignment="1">
      <alignment horizontal="center"/>
    </xf>
    <xf numFmtId="0" fontId="0" fillId="16" borderId="3" xfId="0" applyFill="1" applyBorder="1" applyAlignment="1">
      <alignment horizontal="center"/>
    </xf>
    <xf numFmtId="0" fontId="7" fillId="0" borderId="0" xfId="5"/>
    <xf numFmtId="0" fontId="0" fillId="0" borderId="0" xfId="0" applyAlignment="1"/>
    <xf numFmtId="169" fontId="0" fillId="16" borderId="10" xfId="0" applyNumberFormat="1" applyFill="1" applyBorder="1" applyAlignment="1">
      <alignment horizontal="center"/>
    </xf>
    <xf numFmtId="2" fontId="0" fillId="0" borderId="0" xfId="0" applyNumberFormat="1" applyFill="1" applyBorder="1" applyAlignment="1">
      <alignment horizontal="center"/>
    </xf>
    <xf numFmtId="2" fontId="0" fillId="16" borderId="0" xfId="0" applyNumberFormat="1" applyFill="1" applyBorder="1" applyAlignment="1">
      <alignment horizontal="center"/>
    </xf>
    <xf numFmtId="2" fontId="0" fillId="16" borderId="10" xfId="0" applyNumberFormat="1" applyFill="1" applyBorder="1" applyAlignment="1">
      <alignment horizontal="center"/>
    </xf>
    <xf numFmtId="2" fontId="0" fillId="0" borderId="7" xfId="0" applyNumberFormat="1" applyFill="1" applyBorder="1" applyAlignment="1">
      <alignment horizontal="center"/>
    </xf>
    <xf numFmtId="2" fontId="0" fillId="0" borderId="10" xfId="0" applyNumberFormat="1" applyFill="1" applyBorder="1" applyAlignment="1">
      <alignment horizontal="center"/>
    </xf>
    <xf numFmtId="0" fontId="3" fillId="0" borderId="2" xfId="0" applyFont="1" applyFill="1" applyBorder="1" applyAlignment="1">
      <alignment horizontal="left" wrapText="1"/>
    </xf>
    <xf numFmtId="0" fontId="0" fillId="0" borderId="3" xfId="0" applyFill="1" applyBorder="1" applyAlignment="1">
      <alignment horizontal="left"/>
    </xf>
    <xf numFmtId="0" fontId="0" fillId="0" borderId="5" xfId="0" applyFill="1" applyBorder="1" applyAlignment="1">
      <alignment horizontal="left"/>
    </xf>
    <xf numFmtId="0" fontId="0" fillId="16" borderId="5" xfId="0" applyFill="1" applyBorder="1" applyAlignment="1">
      <alignment horizontal="left"/>
    </xf>
    <xf numFmtId="0" fontId="0" fillId="16" borderId="3" xfId="0" applyFill="1" applyBorder="1" applyAlignment="1">
      <alignment horizontal="left"/>
    </xf>
    <xf numFmtId="0" fontId="0" fillId="0" borderId="2" xfId="0" applyFill="1" applyBorder="1" applyAlignment="1">
      <alignment horizontal="left"/>
    </xf>
    <xf numFmtId="0" fontId="0" fillId="0" borderId="11" xfId="0" applyBorder="1" applyAlignment="1">
      <alignment horizontal="center"/>
    </xf>
    <xf numFmtId="0" fontId="31" fillId="0" borderId="0" xfId="0" applyFont="1" applyFill="1"/>
    <xf numFmtId="0" fontId="26" fillId="0" borderId="0" xfId="0" applyFont="1"/>
    <xf numFmtId="0" fontId="30" fillId="0" borderId="0" xfId="0" applyFont="1" applyFill="1"/>
    <xf numFmtId="0" fontId="28" fillId="0" borderId="0" xfId="0" applyFont="1" applyFill="1"/>
    <xf numFmtId="0" fontId="0" fillId="5" borderId="81" xfId="0" applyFill="1" applyBorder="1" applyAlignment="1">
      <alignment horizontal="right"/>
    </xf>
    <xf numFmtId="0" fontId="0" fillId="5" borderId="135" xfId="0" applyFill="1" applyBorder="1" applyAlignment="1">
      <alignment horizontal="right"/>
    </xf>
    <xf numFmtId="0" fontId="0" fillId="5" borderId="81" xfId="0" applyFill="1" applyBorder="1" applyAlignment="1">
      <alignment horizontal="left"/>
    </xf>
    <xf numFmtId="0" fontId="0" fillId="5" borderId="81" xfId="0" applyFill="1" applyBorder="1"/>
    <xf numFmtId="0" fontId="0" fillId="5" borderId="135" xfId="0" applyFill="1" applyBorder="1" applyAlignment="1">
      <alignment horizontal="left"/>
    </xf>
    <xf numFmtId="0" fontId="0" fillId="5" borderId="82" xfId="0" applyFill="1" applyBorder="1" applyAlignment="1">
      <alignment horizontal="left"/>
    </xf>
    <xf numFmtId="2" fontId="33" fillId="0" borderId="0" xfId="0" applyNumberFormat="1" applyFont="1"/>
    <xf numFmtId="4" fontId="38" fillId="0" borderId="10" xfId="0" applyNumberFormat="1" applyFont="1" applyFill="1" applyBorder="1" applyAlignment="1">
      <alignment horizontal="center"/>
    </xf>
    <xf numFmtId="0" fontId="38" fillId="0" borderId="0" xfId="0" applyFont="1" applyFill="1" applyAlignment="1">
      <alignment horizontal="left"/>
    </xf>
    <xf numFmtId="0" fontId="38" fillId="0" borderId="3" xfId="0" applyFont="1" applyFill="1" applyBorder="1" applyAlignment="1">
      <alignment horizontal="center"/>
    </xf>
    <xf numFmtId="0" fontId="0" fillId="2" borderId="0" xfId="0" applyFill="1"/>
    <xf numFmtId="2" fontId="12" fillId="0" borderId="0" xfId="0" quotePrefix="1" applyNumberFormat="1" applyFont="1"/>
    <xf numFmtId="0" fontId="40" fillId="0" borderId="0" xfId="0" applyFont="1" applyFill="1" applyBorder="1"/>
    <xf numFmtId="0" fontId="41" fillId="0" borderId="0" xfId="0" applyFont="1" applyFill="1" applyBorder="1"/>
    <xf numFmtId="0" fontId="42" fillId="0" borderId="0" xfId="0" applyFont="1" applyFill="1" applyBorder="1" applyAlignment="1">
      <alignment horizontal="left" wrapText="1"/>
    </xf>
    <xf numFmtId="0" fontId="43" fillId="0" borderId="0" xfId="0" applyFont="1" applyFill="1"/>
    <xf numFmtId="0" fontId="43" fillId="0" borderId="0" xfId="0" applyFont="1" applyFill="1" applyBorder="1"/>
    <xf numFmtId="0" fontId="46" fillId="0" borderId="10" xfId="0" applyFont="1" applyFill="1" applyBorder="1"/>
    <xf numFmtId="0" fontId="43" fillId="0" borderId="10" xfId="0" applyFont="1" applyFill="1" applyBorder="1"/>
    <xf numFmtId="0" fontId="47" fillId="0" borderId="0" xfId="0" applyFont="1" applyFill="1"/>
    <xf numFmtId="0" fontId="47" fillId="0" borderId="0" xfId="0" applyFont="1" applyFill="1" applyBorder="1"/>
    <xf numFmtId="0" fontId="48" fillId="13" borderId="4" xfId="0" applyFont="1" applyFill="1" applyBorder="1" applyAlignment="1">
      <alignment vertical="center"/>
    </xf>
    <xf numFmtId="0" fontId="48" fillId="12" borderId="4" xfId="0" applyFont="1" applyFill="1" applyBorder="1" applyAlignment="1">
      <alignment vertical="center"/>
    </xf>
    <xf numFmtId="0" fontId="49" fillId="10" borderId="4" xfId="0" applyFont="1" applyFill="1" applyBorder="1" applyAlignment="1">
      <alignment vertical="center"/>
    </xf>
    <xf numFmtId="0" fontId="48" fillId="11" borderId="4" xfId="0" applyFont="1" applyFill="1" applyBorder="1" applyAlignment="1">
      <alignment vertical="center"/>
    </xf>
    <xf numFmtId="0" fontId="46" fillId="0" borderId="0" xfId="0" applyFont="1" applyFill="1" applyBorder="1"/>
    <xf numFmtId="0" fontId="49" fillId="5" borderId="4" xfId="0" applyFont="1" applyFill="1" applyBorder="1" applyAlignment="1">
      <alignment vertical="center"/>
    </xf>
    <xf numFmtId="0" fontId="51" fillId="0" borderId="0" xfId="0" applyFont="1" applyFill="1" applyBorder="1"/>
    <xf numFmtId="0" fontId="46" fillId="0" borderId="0" xfId="0" applyFont="1" applyFill="1" applyBorder="1" applyAlignment="1">
      <alignment vertical="top"/>
    </xf>
    <xf numFmtId="0" fontId="52" fillId="0" borderId="0" xfId="0" applyFont="1" applyFill="1" applyBorder="1"/>
    <xf numFmtId="0" fontId="52" fillId="0" borderId="0" xfId="0" applyFont="1" applyFill="1" applyBorder="1" applyAlignment="1">
      <alignment vertical="top"/>
    </xf>
    <xf numFmtId="0" fontId="52" fillId="0" borderId="0" xfId="0" applyFont="1" applyFill="1"/>
    <xf numFmtId="0" fontId="54" fillId="0" borderId="0" xfId="0" applyFont="1" applyFill="1" applyBorder="1"/>
    <xf numFmtId="0" fontId="55" fillId="0" borderId="0" xfId="0" applyFont="1" applyFill="1" applyBorder="1" applyAlignment="1">
      <alignment vertical="top" wrapText="1"/>
    </xf>
    <xf numFmtId="0" fontId="54" fillId="0" borderId="0" xfId="0" applyFont="1" applyFill="1"/>
    <xf numFmtId="0" fontId="42" fillId="0" borderId="0" xfId="0" applyFont="1" applyFill="1" applyAlignment="1">
      <alignment horizontal="left" wrapText="1"/>
    </xf>
    <xf numFmtId="0" fontId="56" fillId="0" borderId="0" xfId="0" applyFont="1" applyFill="1" applyBorder="1"/>
    <xf numFmtId="0" fontId="57" fillId="0" borderId="0" xfId="0" applyFont="1" applyFill="1" applyBorder="1"/>
    <xf numFmtId="0" fontId="43" fillId="0" borderId="0" xfId="0" applyFont="1"/>
    <xf numFmtId="0" fontId="53" fillId="0" borderId="0" xfId="0" quotePrefix="1" applyFont="1" applyFill="1" applyBorder="1"/>
    <xf numFmtId="0" fontId="53" fillId="0" borderId="0" xfId="0" quotePrefix="1" applyFont="1" applyFill="1" applyBorder="1" applyAlignment="1">
      <alignment wrapText="1"/>
    </xf>
    <xf numFmtId="0" fontId="55" fillId="0" borderId="0" xfId="0" applyFont="1"/>
    <xf numFmtId="0" fontId="55" fillId="0" borderId="0" xfId="0" applyFont="1" applyAlignment="1">
      <alignment horizontal="left"/>
    </xf>
    <xf numFmtId="0" fontId="55" fillId="0" borderId="0" xfId="0" applyFont="1" applyAlignment="1"/>
    <xf numFmtId="0" fontId="58" fillId="0" borderId="10" xfId="0" applyFont="1" applyBorder="1" applyAlignment="1"/>
    <xf numFmtId="0" fontId="55" fillId="0" borderId="10" xfId="0" applyFont="1" applyBorder="1" applyAlignment="1">
      <alignment horizontal="left"/>
    </xf>
    <xf numFmtId="0" fontId="55" fillId="0" borderId="10" xfId="0" applyFont="1" applyBorder="1" applyAlignment="1"/>
    <xf numFmtId="0" fontId="55" fillId="0" borderId="10" xfId="0" applyFont="1" applyBorder="1"/>
    <xf numFmtId="0" fontId="43" fillId="0" borderId="0" xfId="0" applyFont="1" applyAlignment="1">
      <alignment vertical="center"/>
    </xf>
    <xf numFmtId="0" fontId="54" fillId="0" borderId="13" xfId="0" applyFont="1" applyBorder="1" applyAlignment="1">
      <alignment vertical="center"/>
    </xf>
    <xf numFmtId="0" fontId="54" fillId="0" borderId="0" xfId="0" applyFont="1" applyBorder="1" applyAlignment="1">
      <alignment vertical="center"/>
    </xf>
    <xf numFmtId="0" fontId="49" fillId="0" borderId="86" xfId="0" applyFont="1" applyFill="1" applyBorder="1" applyAlignment="1">
      <alignment horizontal="right" vertical="center"/>
    </xf>
    <xf numFmtId="0" fontId="55" fillId="0" borderId="0" xfId="0" applyFont="1" applyAlignment="1">
      <alignment horizontal="right" vertical="center"/>
    </xf>
    <xf numFmtId="0" fontId="49" fillId="0" borderId="0" xfId="0" applyFont="1" applyAlignment="1">
      <alignment horizontal="right" vertical="center"/>
    </xf>
    <xf numFmtId="0" fontId="50" fillId="0" borderId="4" xfId="0" applyFont="1" applyFill="1" applyBorder="1" applyAlignment="1" applyProtection="1">
      <alignment horizontal="center" vertical="center"/>
      <protection locked="0"/>
    </xf>
    <xf numFmtId="0" fontId="55" fillId="0" borderId="0" xfId="0" applyFont="1" applyAlignment="1" applyProtection="1">
      <alignment vertical="center"/>
      <protection hidden="1"/>
    </xf>
    <xf numFmtId="165" fontId="59" fillId="5" borderId="51" xfId="0" applyNumberFormat="1" applyFont="1" applyFill="1" applyBorder="1" applyAlignment="1">
      <alignment vertical="center"/>
    </xf>
    <xf numFmtId="165" fontId="55" fillId="5" borderId="32" xfId="0" applyNumberFormat="1" applyFont="1" applyFill="1" applyBorder="1" applyAlignment="1">
      <alignment vertical="center"/>
    </xf>
    <xf numFmtId="0" fontId="49" fillId="0" borderId="86" xfId="0" applyFont="1" applyBorder="1" applyAlignment="1">
      <alignment horizontal="right" vertical="center"/>
    </xf>
    <xf numFmtId="165" fontId="59" fillId="5" borderId="27" xfId="0" applyNumberFormat="1" applyFont="1" applyFill="1" applyBorder="1" applyAlignment="1">
      <alignment vertical="center"/>
    </xf>
    <xf numFmtId="0" fontId="49" fillId="0" borderId="0" xfId="0" applyFont="1" applyAlignment="1">
      <alignment horizontal="right"/>
    </xf>
    <xf numFmtId="0" fontId="55" fillId="0" borderId="25" xfId="0" applyFont="1" applyBorder="1"/>
    <xf numFmtId="164" fontId="55" fillId="5" borderId="82" xfId="0" applyNumberFormat="1" applyFont="1" applyFill="1" applyBorder="1" applyAlignment="1">
      <alignment vertical="center"/>
    </xf>
    <xf numFmtId="0" fontId="55" fillId="0" borderId="0" xfId="0" applyFont="1" applyAlignment="1">
      <alignment horizontal="right"/>
    </xf>
    <xf numFmtId="0" fontId="55" fillId="0" borderId="10" xfId="0" applyFont="1" applyBorder="1" applyAlignment="1">
      <alignment horizontal="right"/>
    </xf>
    <xf numFmtId="0" fontId="49" fillId="5" borderId="37" xfId="0" applyFont="1" applyFill="1" applyBorder="1" applyAlignment="1">
      <alignment horizontal="center" vertical="center" wrapText="1"/>
    </xf>
    <xf numFmtId="0" fontId="49" fillId="5" borderId="22" xfId="0" applyFont="1" applyFill="1" applyBorder="1" applyAlignment="1">
      <alignment horizontal="center" vertical="center" wrapText="1"/>
    </xf>
    <xf numFmtId="164" fontId="50" fillId="5" borderId="28" xfId="0" applyNumberFormat="1" applyFont="1" applyFill="1" applyBorder="1" applyAlignment="1">
      <alignment vertical="center" wrapText="1"/>
    </xf>
    <xf numFmtId="164" fontId="50" fillId="5" borderId="30" xfId="0" applyNumberFormat="1" applyFont="1" applyFill="1" applyBorder="1" applyAlignment="1">
      <alignment vertical="center" wrapText="1"/>
    </xf>
    <xf numFmtId="0" fontId="55" fillId="0" borderId="0" xfId="0" applyFont="1" applyBorder="1" applyAlignment="1">
      <alignment horizontal="right" vertical="center"/>
    </xf>
    <xf numFmtId="9" fontId="50" fillId="5" borderId="31" xfId="0" applyNumberFormat="1" applyFont="1" applyFill="1" applyBorder="1" applyAlignment="1">
      <alignment vertical="center" wrapText="1"/>
    </xf>
    <xf numFmtId="9" fontId="50" fillId="5" borderId="21" xfId="3" applyFont="1" applyFill="1" applyBorder="1" applyAlignment="1">
      <alignment vertical="center" wrapText="1"/>
    </xf>
    <xf numFmtId="0" fontId="55" fillId="0" borderId="26" xfId="0" applyFont="1" applyBorder="1"/>
    <xf numFmtId="0" fontId="55" fillId="0" borderId="26" xfId="0" applyFont="1" applyBorder="1" applyAlignment="1">
      <alignment horizontal="left"/>
    </xf>
    <xf numFmtId="0" fontId="49" fillId="0" borderId="26" xfId="0" applyFont="1" applyBorder="1" applyAlignment="1">
      <alignment horizontal="right" vertical="center"/>
    </xf>
    <xf numFmtId="164" fontId="49" fillId="5" borderId="48" xfId="0" applyNumberFormat="1" applyFont="1" applyFill="1" applyBorder="1" applyAlignment="1">
      <alignment vertical="center"/>
    </xf>
    <xf numFmtId="164" fontId="49" fillId="5" borderId="73" xfId="0" applyNumberFormat="1" applyFont="1" applyFill="1" applyBorder="1" applyAlignment="1">
      <alignment vertical="center"/>
    </xf>
    <xf numFmtId="164" fontId="50" fillId="5" borderId="38" xfId="0" applyNumberFormat="1" applyFont="1" applyFill="1" applyBorder="1" applyAlignment="1">
      <alignment vertical="center" wrapText="1"/>
    </xf>
    <xf numFmtId="164" fontId="50" fillId="5" borderId="20" xfId="0" applyNumberFormat="1" applyFont="1" applyFill="1" applyBorder="1" applyAlignment="1">
      <alignment vertical="center" wrapText="1"/>
    </xf>
    <xf numFmtId="164" fontId="49" fillId="5" borderId="37" xfId="0" applyNumberFormat="1" applyFont="1" applyFill="1" applyBorder="1" applyAlignment="1">
      <alignment vertical="center"/>
    </xf>
    <xf numFmtId="164" fontId="49" fillId="5" borderId="22" xfId="0" applyNumberFormat="1" applyFont="1" applyFill="1" applyBorder="1" applyAlignment="1">
      <alignment vertical="center"/>
    </xf>
    <xf numFmtId="164" fontId="50" fillId="0" borderId="4" xfId="1" applyNumberFormat="1" applyFont="1" applyFill="1" applyBorder="1" applyAlignment="1" applyProtection="1">
      <alignment vertical="center"/>
      <protection locked="0"/>
    </xf>
    <xf numFmtId="0" fontId="59" fillId="0" borderId="0" xfId="0" applyFont="1" applyAlignment="1" applyProtection="1">
      <alignment vertical="center"/>
      <protection hidden="1"/>
    </xf>
    <xf numFmtId="0" fontId="58" fillId="0" borderId="0" xfId="0" applyFont="1" applyBorder="1" applyAlignment="1"/>
    <xf numFmtId="0" fontId="46" fillId="0" borderId="0" xfId="0" applyFont="1" applyBorder="1" applyAlignment="1"/>
    <xf numFmtId="0" fontId="49" fillId="5" borderId="16" xfId="0" applyFont="1" applyFill="1" applyBorder="1" applyAlignment="1">
      <alignment horizontal="center" vertical="center" wrapText="1"/>
    </xf>
    <xf numFmtId="0" fontId="49" fillId="5" borderId="107" xfId="0" applyFont="1" applyFill="1" applyBorder="1" applyAlignment="1">
      <alignment horizontal="center" vertical="center" wrapText="1"/>
    </xf>
    <xf numFmtId="0" fontId="49" fillId="5" borderId="48" xfId="0" applyFont="1" applyFill="1" applyBorder="1" applyAlignment="1">
      <alignment horizontal="center" vertical="center" wrapText="1"/>
    </xf>
    <xf numFmtId="0" fontId="49" fillId="5" borderId="49" xfId="0" applyFont="1" applyFill="1" applyBorder="1" applyAlignment="1">
      <alignment horizontal="center" vertical="center" wrapText="1"/>
    </xf>
    <xf numFmtId="0" fontId="49" fillId="5" borderId="73" xfId="0" applyFont="1" applyFill="1" applyBorder="1" applyAlignment="1">
      <alignment horizontal="center" vertical="center" wrapText="1"/>
    </xf>
    <xf numFmtId="0" fontId="55" fillId="0" borderId="38" xfId="0" applyFont="1" applyFill="1" applyBorder="1" applyAlignment="1" applyProtection="1">
      <alignment horizontal="center" vertical="center"/>
      <protection locked="0"/>
    </xf>
    <xf numFmtId="0" fontId="50" fillId="5" borderId="52" xfId="0" applyFont="1" applyFill="1" applyBorder="1" applyAlignment="1">
      <alignment horizontal="right" vertical="center"/>
    </xf>
    <xf numFmtId="0" fontId="50" fillId="5" borderId="80" xfId="0" applyFont="1" applyFill="1" applyBorder="1" applyAlignment="1" applyProtection="1">
      <alignment horizontal="left" vertical="center"/>
      <protection hidden="1"/>
    </xf>
    <xf numFmtId="0" fontId="50" fillId="5" borderId="83" xfId="0" applyFont="1" applyFill="1" applyBorder="1" applyAlignment="1" applyProtection="1">
      <alignment horizontal="center" vertical="center" wrapText="1"/>
      <protection hidden="1"/>
    </xf>
    <xf numFmtId="164" fontId="50" fillId="5" borderId="23" xfId="0" applyNumberFormat="1" applyFont="1" applyFill="1" applyBorder="1" applyAlignment="1" applyProtection="1">
      <alignment horizontal="center" vertical="center" wrapText="1"/>
      <protection hidden="1"/>
    </xf>
    <xf numFmtId="164" fontId="50" fillId="5" borderId="38" xfId="1" applyNumberFormat="1" applyFont="1" applyFill="1" applyBorder="1" applyAlignment="1" applyProtection="1">
      <alignment horizontal="center" vertical="center"/>
      <protection hidden="1"/>
    </xf>
    <xf numFmtId="164" fontId="50" fillId="5" borderId="15" xfId="1" applyNumberFormat="1" applyFont="1" applyFill="1" applyBorder="1" applyAlignment="1" applyProtection="1">
      <alignment horizontal="center" vertical="center"/>
      <protection hidden="1"/>
    </xf>
    <xf numFmtId="164" fontId="50" fillId="5" borderId="30" xfId="1" applyNumberFormat="1" applyFont="1" applyFill="1" applyBorder="1" applyAlignment="1" applyProtection="1">
      <alignment horizontal="center" vertical="center"/>
      <protection hidden="1"/>
    </xf>
    <xf numFmtId="164" fontId="50" fillId="5" borderId="17" xfId="1" applyNumberFormat="1" applyFont="1" applyFill="1" applyBorder="1" applyAlignment="1" applyProtection="1">
      <alignment horizontal="center" vertical="center"/>
      <protection hidden="1"/>
    </xf>
    <xf numFmtId="164" fontId="50" fillId="5" borderId="20" xfId="1" applyNumberFormat="1" applyFont="1" applyFill="1" applyBorder="1" applyAlignment="1" applyProtection="1">
      <alignment horizontal="center" vertical="center"/>
      <protection hidden="1"/>
    </xf>
    <xf numFmtId="0" fontId="50" fillId="5" borderId="38" xfId="1" applyNumberFormat="1" applyFont="1" applyFill="1" applyBorder="1" applyAlignment="1" applyProtection="1">
      <alignment horizontal="center" vertical="center"/>
      <protection hidden="1"/>
    </xf>
    <xf numFmtId="0" fontId="50" fillId="5" borderId="15" xfId="1" applyNumberFormat="1" applyFont="1" applyFill="1" applyBorder="1" applyAlignment="1" applyProtection="1">
      <alignment horizontal="center" vertical="center"/>
      <protection hidden="1"/>
    </xf>
    <xf numFmtId="0" fontId="50" fillId="5" borderId="20" xfId="1" applyNumberFormat="1" applyFont="1" applyFill="1" applyBorder="1" applyAlignment="1" applyProtection="1">
      <alignment horizontal="center" vertical="center"/>
      <protection hidden="1"/>
    </xf>
    <xf numFmtId="165" fontId="50" fillId="5" borderId="38" xfId="3" applyNumberFormat="1" applyFont="1" applyFill="1" applyBorder="1" applyAlignment="1" applyProtection="1">
      <alignment horizontal="center" vertical="center"/>
      <protection hidden="1"/>
    </xf>
    <xf numFmtId="165" fontId="50" fillId="5" borderId="20" xfId="3" applyNumberFormat="1" applyFont="1" applyFill="1" applyBorder="1" applyAlignment="1" applyProtection="1">
      <alignment horizontal="center" vertical="center"/>
      <protection hidden="1"/>
    </xf>
    <xf numFmtId="0" fontId="50" fillId="5" borderId="55" xfId="0" applyFont="1" applyFill="1" applyBorder="1" applyAlignment="1">
      <alignment horizontal="right" vertical="center"/>
    </xf>
    <xf numFmtId="0" fontId="50" fillId="5" borderId="44" xfId="0" applyFont="1" applyFill="1" applyBorder="1" applyAlignment="1" applyProtection="1">
      <alignment horizontal="left" vertical="center"/>
      <protection hidden="1"/>
    </xf>
    <xf numFmtId="0" fontId="43" fillId="0" borderId="0" xfId="0" applyFont="1" applyAlignment="1">
      <alignment horizontal="center" wrapText="1"/>
    </xf>
    <xf numFmtId="0" fontId="55" fillId="0" borderId="139" xfId="0" applyFont="1" applyFill="1" applyBorder="1" applyAlignment="1" applyProtection="1">
      <alignment horizontal="center" vertical="center"/>
      <protection locked="0"/>
    </xf>
    <xf numFmtId="0" fontId="43" fillId="0" borderId="72" xfId="0" applyFont="1" applyBorder="1"/>
    <xf numFmtId="0" fontId="60" fillId="5" borderId="37" xfId="0" applyFont="1" applyFill="1" applyBorder="1" applyAlignment="1">
      <alignment horizontal="left" vertical="center"/>
    </xf>
    <xf numFmtId="0" fontId="60" fillId="5" borderId="25" xfId="0" applyFont="1" applyFill="1" applyBorder="1" applyAlignment="1">
      <alignment horizontal="left" vertical="center"/>
    </xf>
    <xf numFmtId="0" fontId="60" fillId="5" borderId="25" xfId="0" applyFont="1" applyFill="1" applyBorder="1" applyAlignment="1">
      <alignment vertical="center"/>
    </xf>
    <xf numFmtId="0" fontId="60" fillId="5" borderId="27" xfId="0" applyFont="1" applyFill="1" applyBorder="1" applyAlignment="1">
      <alignment vertical="center"/>
    </xf>
    <xf numFmtId="164" fontId="60" fillId="5" borderId="4" xfId="0" applyNumberFormat="1" applyFont="1" applyFill="1" applyBorder="1" applyAlignment="1">
      <alignment vertical="center"/>
    </xf>
    <xf numFmtId="164" fontId="60" fillId="5" borderId="37" xfId="0" applyNumberFormat="1" applyFont="1" applyFill="1" applyBorder="1" applyAlignment="1">
      <alignment vertical="center"/>
    </xf>
    <xf numFmtId="164" fontId="60" fillId="5" borderId="16" xfId="0" applyNumberFormat="1" applyFont="1" applyFill="1" applyBorder="1" applyAlignment="1">
      <alignment vertical="center"/>
    </xf>
    <xf numFmtId="164" fontId="60" fillId="5" borderId="22" xfId="0" applyNumberFormat="1" applyFont="1" applyFill="1" applyBorder="1" applyAlignment="1">
      <alignment vertical="center"/>
    </xf>
    <xf numFmtId="164" fontId="60" fillId="5" borderId="19" xfId="0" applyNumberFormat="1" applyFont="1" applyFill="1" applyBorder="1" applyAlignment="1">
      <alignment vertical="center"/>
    </xf>
    <xf numFmtId="2" fontId="60" fillId="5" borderId="37" xfId="0" applyNumberFormat="1" applyFont="1" applyFill="1" applyBorder="1" applyAlignment="1">
      <alignment vertical="center"/>
    </xf>
    <xf numFmtId="2" fontId="60" fillId="5" borderId="16" xfId="0" applyNumberFormat="1" applyFont="1" applyFill="1" applyBorder="1" applyAlignment="1">
      <alignment vertical="center"/>
    </xf>
    <xf numFmtId="2" fontId="60" fillId="5" borderId="22" xfId="0" applyNumberFormat="1" applyFont="1" applyFill="1" applyBorder="1" applyAlignment="1">
      <alignment vertical="center"/>
    </xf>
    <xf numFmtId="165" fontId="60" fillId="5" borderId="37" xfId="3" applyNumberFormat="1" applyFont="1" applyFill="1" applyBorder="1" applyAlignment="1">
      <alignment horizontal="center" vertical="center"/>
    </xf>
    <xf numFmtId="165" fontId="60" fillId="5" borderId="22" xfId="3" applyNumberFormat="1" applyFont="1" applyFill="1" applyBorder="1" applyAlignment="1">
      <alignment horizontal="center" vertical="center"/>
    </xf>
    <xf numFmtId="0" fontId="61" fillId="0" borderId="0" xfId="0" applyFont="1" applyAlignment="1"/>
    <xf numFmtId="0" fontId="49" fillId="0" borderId="0" xfId="0" applyFont="1" applyAlignment="1">
      <alignment horizontal="left"/>
    </xf>
    <xf numFmtId="0" fontId="49" fillId="5" borderId="39" xfId="0" applyFont="1" applyFill="1" applyBorder="1" applyAlignment="1">
      <alignment vertical="center" wrapText="1"/>
    </xf>
    <xf numFmtId="0" fontId="63" fillId="14" borderId="8" xfId="0" applyFont="1" applyFill="1" applyBorder="1" applyAlignment="1">
      <alignment vertical="center"/>
    </xf>
    <xf numFmtId="0" fontId="63" fillId="14" borderId="4" xfId="0" applyFont="1" applyFill="1" applyBorder="1" applyAlignment="1">
      <alignment vertical="center"/>
    </xf>
    <xf numFmtId="0" fontId="55" fillId="5" borderId="40" xfId="0" applyFont="1" applyFill="1" applyBorder="1" applyAlignment="1">
      <alignment vertical="center" wrapText="1"/>
    </xf>
    <xf numFmtId="0" fontId="64" fillId="0" borderId="54" xfId="0" applyFont="1" applyBorder="1" applyAlignment="1" applyProtection="1">
      <alignment vertical="center" wrapText="1"/>
      <protection hidden="1"/>
    </xf>
    <xf numFmtId="0" fontId="55" fillId="0" borderId="23" xfId="0" applyFont="1" applyBorder="1" applyAlignment="1" applyProtection="1">
      <alignment vertical="center" wrapText="1"/>
      <protection locked="0"/>
    </xf>
    <xf numFmtId="0" fontId="55" fillId="5" borderId="41" xfId="0" applyFont="1" applyFill="1" applyBorder="1" applyAlignment="1">
      <alignment vertical="center" wrapText="1"/>
    </xf>
    <xf numFmtId="0" fontId="64" fillId="0" borderId="55" xfId="0" applyFont="1" applyBorder="1" applyAlignment="1" applyProtection="1">
      <alignment vertical="center" wrapText="1"/>
      <protection hidden="1"/>
    </xf>
    <xf numFmtId="0" fontId="55" fillId="0" borderId="24" xfId="0" applyFont="1" applyBorder="1" applyAlignment="1" applyProtection="1">
      <alignment vertical="center" wrapText="1"/>
      <protection locked="0"/>
    </xf>
    <xf numFmtId="0" fontId="64" fillId="0" borderId="131" xfId="0" applyFont="1" applyBorder="1" applyAlignment="1" applyProtection="1">
      <alignment vertical="center" wrapText="1"/>
      <protection hidden="1"/>
    </xf>
    <xf numFmtId="0" fontId="55" fillId="0" borderId="132" xfId="0" applyFont="1" applyBorder="1" applyAlignment="1" applyProtection="1">
      <alignment vertical="center" wrapText="1"/>
      <protection locked="0"/>
    </xf>
    <xf numFmtId="0" fontId="55" fillId="0" borderId="24" xfId="0" applyFont="1" applyFill="1" applyBorder="1" applyAlignment="1" applyProtection="1">
      <alignment vertical="center" wrapText="1"/>
      <protection locked="0"/>
    </xf>
    <xf numFmtId="0" fontId="55" fillId="5" borderId="74" xfId="0" applyFont="1" applyFill="1" applyBorder="1" applyAlignment="1">
      <alignment vertical="center" wrapText="1"/>
    </xf>
    <xf numFmtId="0" fontId="64" fillId="0" borderId="33" xfId="0" applyFont="1" applyBorder="1" applyAlignment="1" applyProtection="1">
      <alignment vertical="center" wrapText="1"/>
      <protection hidden="1"/>
    </xf>
    <xf numFmtId="0" fontId="55" fillId="0" borderId="82" xfId="0" applyFont="1" applyBorder="1" applyAlignment="1" applyProtection="1">
      <alignment vertical="center" wrapText="1"/>
      <protection locked="0"/>
    </xf>
    <xf numFmtId="0" fontId="55" fillId="0" borderId="0" xfId="0" applyFont="1" applyBorder="1" applyAlignment="1">
      <alignment vertical="center"/>
    </xf>
    <xf numFmtId="0" fontId="64" fillId="0" borderId="0" xfId="0" applyFont="1" applyBorder="1" applyAlignment="1">
      <alignment vertical="center" wrapText="1"/>
    </xf>
    <xf numFmtId="0" fontId="46" fillId="0" borderId="0" xfId="0" applyFont="1" applyFill="1" applyBorder="1" applyAlignment="1"/>
    <xf numFmtId="0" fontId="50" fillId="5" borderId="38" xfId="0" applyFont="1" applyFill="1" applyBorder="1" applyAlignment="1">
      <alignment horizontal="center" vertical="center"/>
    </xf>
    <xf numFmtId="0" fontId="64" fillId="0" borderId="23" xfId="0" applyFont="1" applyBorder="1" applyAlignment="1" applyProtection="1">
      <alignment vertical="center" wrapText="1"/>
      <protection hidden="1"/>
    </xf>
    <xf numFmtId="0" fontId="50" fillId="5" borderId="31" xfId="0" applyFont="1" applyFill="1" applyBorder="1" applyAlignment="1">
      <alignment horizontal="center" vertical="center"/>
    </xf>
    <xf numFmtId="0" fontId="55" fillId="0" borderId="24" xfId="0" applyFont="1" applyBorder="1" applyAlignment="1" applyProtection="1">
      <alignment horizontal="left" vertical="center" wrapText="1"/>
      <protection locked="0"/>
    </xf>
    <xf numFmtId="0" fontId="58" fillId="0" borderId="84" xfId="0" applyFont="1" applyBorder="1" applyAlignment="1"/>
    <xf numFmtId="0" fontId="60" fillId="0" borderId="84" xfId="0" applyFont="1" applyBorder="1" applyAlignment="1">
      <alignment horizontal="left" vertical="center"/>
    </xf>
    <xf numFmtId="0" fontId="60" fillId="0" borderId="84" xfId="0" applyFont="1" applyBorder="1" applyAlignment="1">
      <alignment vertical="center"/>
    </xf>
    <xf numFmtId="164" fontId="60" fillId="0" borderId="84" xfId="0" applyNumberFormat="1" applyFont="1" applyBorder="1" applyAlignment="1">
      <alignment vertical="center"/>
    </xf>
    <xf numFmtId="164" fontId="60" fillId="0" borderId="0" xfId="0" applyNumberFormat="1" applyFont="1" applyBorder="1" applyAlignment="1">
      <alignment vertical="center"/>
    </xf>
    <xf numFmtId="165" fontId="60" fillId="0" borderId="0" xfId="3" applyNumberFormat="1" applyFont="1" applyBorder="1" applyAlignment="1">
      <alignment vertical="center"/>
    </xf>
    <xf numFmtId="0" fontId="53" fillId="0" borderId="0" xfId="0" applyFont="1" applyFill="1"/>
    <xf numFmtId="0" fontId="53" fillId="0" borderId="0" xfId="0" applyFont="1"/>
    <xf numFmtId="0" fontId="65" fillId="0" borderId="10" xfId="0" applyFont="1" applyBorder="1"/>
    <xf numFmtId="0" fontId="43" fillId="0" borderId="10" xfId="0" applyFont="1" applyBorder="1"/>
    <xf numFmtId="0" fontId="66" fillId="0" borderId="0" xfId="0" applyFont="1"/>
    <xf numFmtId="0" fontId="67" fillId="0" borderId="86" xfId="0" applyFont="1" applyFill="1" applyBorder="1" applyAlignment="1">
      <alignment horizontal="right" vertical="center"/>
    </xf>
    <xf numFmtId="0" fontId="43" fillId="0" borderId="0" xfId="0" applyFont="1" applyBorder="1" applyAlignment="1">
      <alignment vertical="center"/>
    </xf>
    <xf numFmtId="0" fontId="43" fillId="0" borderId="26" xfId="0" applyFont="1" applyBorder="1" applyAlignment="1">
      <alignment vertical="center"/>
    </xf>
    <xf numFmtId="0" fontId="49" fillId="0" borderId="86" xfId="0" applyFont="1" applyFill="1" applyBorder="1" applyAlignment="1">
      <alignment horizontal="right" vertical="center" wrapText="1"/>
    </xf>
    <xf numFmtId="14" fontId="50" fillId="0" borderId="51" xfId="0" applyNumberFormat="1" applyFont="1" applyFill="1" applyBorder="1" applyAlignment="1" applyProtection="1">
      <alignment horizontal="center" vertical="center"/>
      <protection locked="0"/>
    </xf>
    <xf numFmtId="14" fontId="50" fillId="0" borderId="32" xfId="0" applyNumberFormat="1" applyFont="1" applyFill="1" applyBorder="1" applyAlignment="1" applyProtection="1">
      <alignment horizontal="center" vertical="center"/>
      <protection locked="0"/>
    </xf>
    <xf numFmtId="14" fontId="50" fillId="0" borderId="23" xfId="0" applyNumberFormat="1" applyFont="1" applyFill="1" applyBorder="1" applyAlignment="1" applyProtection="1">
      <alignment horizontal="center" vertical="center"/>
      <protection locked="0"/>
    </xf>
    <xf numFmtId="0" fontId="49" fillId="0" borderId="0" xfId="0" applyFont="1" applyFill="1" applyBorder="1" applyAlignment="1">
      <alignment horizontal="right" vertical="center"/>
    </xf>
    <xf numFmtId="14" fontId="50" fillId="0" borderId="24" xfId="0" applyNumberFormat="1" applyFont="1" applyFill="1" applyBorder="1" applyAlignment="1" applyProtection="1">
      <alignment horizontal="center" vertical="center"/>
      <protection locked="0"/>
    </xf>
    <xf numFmtId="0" fontId="43" fillId="0" borderId="119" xfId="0" applyFont="1" applyBorder="1"/>
    <xf numFmtId="0" fontId="50" fillId="0" borderId="83" xfId="0" applyFont="1" applyFill="1" applyBorder="1" applyAlignment="1" applyProtection="1">
      <alignment horizontal="center" vertical="center"/>
      <protection locked="0"/>
    </xf>
    <xf numFmtId="0" fontId="50" fillId="0" borderId="45" xfId="0" applyFont="1" applyFill="1" applyBorder="1" applyAlignment="1" applyProtection="1">
      <alignment horizontal="center" vertical="center"/>
      <protection locked="0"/>
    </xf>
    <xf numFmtId="49" fontId="50" fillId="0" borderId="32" xfId="0" applyNumberFormat="1" applyFont="1" applyFill="1" applyBorder="1" applyAlignment="1" applyProtection="1">
      <alignment horizontal="center" vertical="center"/>
      <protection locked="0"/>
    </xf>
    <xf numFmtId="0" fontId="43" fillId="0" borderId="25" xfId="0" applyFont="1" applyBorder="1" applyAlignment="1">
      <alignment vertical="center"/>
    </xf>
    <xf numFmtId="0" fontId="67" fillId="0" borderId="86" xfId="0" applyFont="1" applyFill="1" applyBorder="1" applyAlignment="1">
      <alignment horizontal="right" vertical="center" wrapText="1"/>
    </xf>
    <xf numFmtId="0" fontId="50" fillId="0" borderId="32" xfId="0" applyFont="1" applyFill="1" applyBorder="1" applyAlignment="1" applyProtection="1">
      <alignment horizontal="center" vertical="center"/>
      <protection locked="0"/>
    </xf>
    <xf numFmtId="3" fontId="50" fillId="0" borderId="45" xfId="0" applyNumberFormat="1" applyFont="1" applyFill="1" applyBorder="1" applyAlignment="1" applyProtection="1">
      <alignment horizontal="center" vertical="center"/>
      <protection locked="0"/>
    </xf>
    <xf numFmtId="3" fontId="50" fillId="0" borderId="47" xfId="0" applyNumberFormat="1" applyFont="1" applyFill="1" applyBorder="1" applyAlignment="1" applyProtection="1">
      <alignment horizontal="center" vertical="center"/>
      <protection locked="0"/>
    </xf>
    <xf numFmtId="0" fontId="43" fillId="0" borderId="0" xfId="0" applyFont="1" applyFill="1" applyAlignment="1">
      <alignment vertical="center"/>
    </xf>
    <xf numFmtId="43" fontId="43" fillId="0" borderId="0" xfId="0" applyNumberFormat="1" applyFont="1" applyAlignment="1">
      <alignment vertical="center"/>
    </xf>
    <xf numFmtId="0" fontId="50" fillId="0" borderId="0" xfId="0" applyFont="1"/>
    <xf numFmtId="0" fontId="50" fillId="0" borderId="76" xfId="0" applyFont="1" applyFill="1" applyBorder="1" applyAlignment="1" applyProtection="1">
      <alignment horizontal="center" vertical="center"/>
      <protection locked="0"/>
    </xf>
    <xf numFmtId="0" fontId="50" fillId="0" borderId="0" xfId="0" applyFont="1" applyAlignment="1">
      <alignment vertical="center"/>
    </xf>
    <xf numFmtId="0" fontId="50" fillId="0" borderId="26" xfId="0" applyFont="1" applyBorder="1" applyAlignment="1">
      <alignment vertical="center"/>
    </xf>
    <xf numFmtId="0" fontId="67" fillId="0" borderId="50" xfId="0" applyFont="1" applyFill="1" applyBorder="1" applyAlignment="1">
      <alignment horizontal="right" vertical="center"/>
    </xf>
    <xf numFmtId="0" fontId="50" fillId="0" borderId="47" xfId="0" applyFont="1" applyFill="1" applyBorder="1" applyAlignment="1" applyProtection="1">
      <alignment horizontal="center" vertical="center"/>
      <protection locked="0"/>
    </xf>
    <xf numFmtId="0" fontId="67" fillId="0" borderId="82" xfId="0" applyFont="1" applyFill="1" applyBorder="1" applyAlignment="1">
      <alignment horizontal="right" vertical="center"/>
    </xf>
    <xf numFmtId="3" fontId="50" fillId="5" borderId="27" xfId="0" applyNumberFormat="1" applyFont="1" applyFill="1" applyBorder="1" applyAlignment="1">
      <alignment horizontal="center" vertical="center"/>
    </xf>
    <xf numFmtId="0" fontId="50" fillId="5" borderId="50" xfId="0" applyFont="1" applyFill="1" applyBorder="1" applyAlignment="1">
      <alignment horizontal="center" vertical="center"/>
    </xf>
    <xf numFmtId="0" fontId="43" fillId="0" borderId="0" xfId="0" applyFont="1" applyBorder="1"/>
    <xf numFmtId="0" fontId="43" fillId="0" borderId="25" xfId="0" applyFont="1" applyBorder="1"/>
    <xf numFmtId="9" fontId="50" fillId="0" borderId="50" xfId="3" applyFont="1" applyFill="1" applyBorder="1" applyAlignment="1" applyProtection="1">
      <alignment horizontal="center" vertical="center"/>
      <protection locked="0"/>
    </xf>
    <xf numFmtId="0" fontId="68" fillId="0" borderId="114" xfId="0" applyFont="1" applyBorder="1" applyAlignment="1">
      <alignment horizontal="center" vertical="center" wrapText="1"/>
    </xf>
    <xf numFmtId="0" fontId="67" fillId="0" borderId="86" xfId="0" applyFont="1" applyFill="1" applyBorder="1" applyAlignment="1">
      <alignment vertical="center"/>
    </xf>
    <xf numFmtId="0" fontId="69" fillId="5" borderId="27" xfId="0" applyFont="1" applyFill="1" applyBorder="1" applyAlignment="1">
      <alignment horizontal="center"/>
    </xf>
    <xf numFmtId="0" fontId="69" fillId="5" borderId="4" xfId="0" applyFont="1" applyFill="1" applyBorder="1" applyAlignment="1">
      <alignment horizontal="center"/>
    </xf>
    <xf numFmtId="1" fontId="50" fillId="5" borderId="50" xfId="0" applyNumberFormat="1" applyFont="1" applyFill="1" applyBorder="1" applyAlignment="1">
      <alignment horizontal="center" vertical="center"/>
    </xf>
    <xf numFmtId="0" fontId="50" fillId="0" borderId="82" xfId="0" applyFont="1" applyFill="1" applyBorder="1" applyAlignment="1" applyProtection="1">
      <alignment horizontal="center" vertical="center"/>
      <protection locked="0"/>
    </xf>
    <xf numFmtId="0" fontId="70" fillId="5" borderId="8" xfId="0" applyFont="1" applyFill="1" applyBorder="1" applyAlignment="1"/>
    <xf numFmtId="0" fontId="70" fillId="5" borderId="25" xfId="0" applyFont="1" applyFill="1" applyBorder="1" applyAlignment="1"/>
    <xf numFmtId="0" fontId="70" fillId="5" borderId="27" xfId="0" applyFont="1" applyFill="1" applyBorder="1" applyAlignment="1"/>
    <xf numFmtId="1" fontId="50" fillId="0" borderId="4" xfId="3" applyNumberFormat="1" applyFont="1" applyFill="1" applyBorder="1" applyAlignment="1" applyProtection="1">
      <alignment horizontal="center" vertical="center"/>
      <protection locked="0"/>
    </xf>
    <xf numFmtId="43" fontId="43" fillId="0" borderId="0" xfId="0" applyNumberFormat="1" applyFont="1"/>
    <xf numFmtId="0" fontId="43" fillId="0" borderId="0" xfId="0" applyFont="1" applyBorder="1" applyAlignment="1">
      <alignment wrapText="1"/>
    </xf>
    <xf numFmtId="0" fontId="71" fillId="0" borderId="0" xfId="0" applyFont="1"/>
    <xf numFmtId="0" fontId="72" fillId="0" borderId="119" xfId="0" applyFont="1" applyBorder="1"/>
    <xf numFmtId="0" fontId="73" fillId="0" borderId="119" xfId="0" applyFont="1" applyBorder="1"/>
    <xf numFmtId="0" fontId="73" fillId="0" borderId="0" xfId="0" applyFont="1"/>
    <xf numFmtId="0" fontId="74" fillId="5" borderId="94" xfId="0" applyFont="1" applyFill="1" applyBorder="1" applyAlignment="1">
      <alignment horizontal="center" vertical="center" wrapText="1"/>
    </xf>
    <xf numFmtId="0" fontId="74" fillId="5" borderId="127" xfId="0" applyFont="1" applyFill="1" applyBorder="1" applyAlignment="1">
      <alignment horizontal="center" vertical="center" wrapText="1"/>
    </xf>
    <xf numFmtId="0" fontId="74" fillId="5" borderId="95" xfId="0" applyFont="1" applyFill="1" applyBorder="1" applyAlignment="1">
      <alignment horizontal="center" vertical="center" wrapText="1"/>
    </xf>
    <xf numFmtId="0" fontId="74" fillId="5" borderId="91" xfId="0" applyFont="1" applyFill="1" applyBorder="1" applyAlignment="1">
      <alignment horizontal="center" vertical="center" wrapText="1"/>
    </xf>
    <xf numFmtId="0" fontId="74" fillId="5" borderId="93" xfId="0" applyFont="1" applyFill="1" applyBorder="1" applyAlignment="1">
      <alignment horizontal="center" vertical="center" wrapText="1"/>
    </xf>
    <xf numFmtId="0" fontId="74" fillId="5" borderId="89" xfId="0" applyFont="1" applyFill="1" applyBorder="1" applyAlignment="1">
      <alignment horizontal="center" vertical="center" wrapText="1"/>
    </xf>
    <xf numFmtId="0" fontId="49" fillId="5" borderId="95" xfId="0" applyFont="1" applyFill="1" applyBorder="1" applyAlignment="1">
      <alignment horizontal="center" vertical="center" wrapText="1"/>
    </xf>
    <xf numFmtId="0" fontId="55" fillId="5" borderId="23" xfId="0" applyFont="1" applyFill="1" applyBorder="1" applyAlignment="1">
      <alignment horizontal="center" vertical="center"/>
    </xf>
    <xf numFmtId="164" fontId="50" fillId="0" borderId="54" xfId="1" applyNumberFormat="1" applyFont="1" applyFill="1" applyBorder="1" applyAlignment="1" applyProtection="1">
      <alignment horizontal="center" vertical="center"/>
      <protection locked="0" hidden="1"/>
    </xf>
    <xf numFmtId="3" fontId="50" fillId="0" borderId="40" xfId="1" applyNumberFormat="1" applyFont="1" applyFill="1" applyBorder="1" applyAlignment="1" applyProtection="1">
      <alignment horizontal="right" vertical="center"/>
      <protection locked="0" hidden="1"/>
    </xf>
    <xf numFmtId="0" fontId="50" fillId="5" borderId="151" xfId="0" applyFont="1" applyFill="1" applyBorder="1" applyAlignment="1">
      <alignment horizontal="center" vertical="center"/>
    </xf>
    <xf numFmtId="164" fontId="50" fillId="0" borderId="41" xfId="1" applyNumberFormat="1" applyFont="1" applyFill="1" applyBorder="1" applyAlignment="1" applyProtection="1">
      <alignment horizontal="center" vertical="center"/>
      <protection locked="0" hidden="1"/>
    </xf>
    <xf numFmtId="3" fontId="50" fillId="0" borderId="110" xfId="4" applyNumberFormat="1" applyFont="1" applyFill="1" applyBorder="1" applyAlignment="1" applyProtection="1">
      <alignment horizontal="right" vertical="center"/>
      <protection locked="0" hidden="1"/>
    </xf>
    <xf numFmtId="166" fontId="50" fillId="5" borderId="54" xfId="4" applyNumberFormat="1" applyFont="1" applyFill="1" applyBorder="1" applyAlignment="1">
      <alignment horizontal="center" vertical="center"/>
    </xf>
    <xf numFmtId="0" fontId="50" fillId="5" borderId="123" xfId="0" applyFont="1" applyFill="1" applyBorder="1" applyAlignment="1">
      <alignment horizontal="center" vertical="center"/>
    </xf>
    <xf numFmtId="166" fontId="50" fillId="5" borderId="83" xfId="4" applyNumberFormat="1" applyFont="1" applyFill="1" applyBorder="1" applyAlignment="1">
      <alignment horizontal="center" vertical="center"/>
    </xf>
    <xf numFmtId="0" fontId="59" fillId="0" borderId="115" xfId="0" applyFont="1" applyFill="1" applyBorder="1" applyAlignment="1" applyProtection="1">
      <alignment horizontal="left" vertical="center" wrapText="1"/>
      <protection hidden="1"/>
    </xf>
    <xf numFmtId="0" fontId="55" fillId="0" borderId="24" xfId="0" applyFont="1" applyFill="1" applyBorder="1" applyAlignment="1" applyProtection="1">
      <alignment horizontal="center" vertical="center"/>
      <protection locked="0"/>
    </xf>
    <xf numFmtId="0" fontId="50" fillId="0" borderId="21" xfId="0" applyFont="1" applyFill="1" applyBorder="1" applyAlignment="1" applyProtection="1">
      <alignment horizontal="center" vertical="center"/>
      <protection locked="0"/>
    </xf>
    <xf numFmtId="3" fontId="50" fillId="0" borderId="41" xfId="4" applyNumberFormat="1" applyFont="1" applyFill="1" applyBorder="1" applyAlignment="1" applyProtection="1">
      <alignment horizontal="right" vertical="center"/>
      <protection locked="0" hidden="1"/>
    </xf>
    <xf numFmtId="0" fontId="50" fillId="5" borderId="20" xfId="0" applyFont="1" applyFill="1" applyBorder="1" applyAlignment="1">
      <alignment horizontal="center" vertical="center"/>
    </xf>
    <xf numFmtId="0" fontId="50" fillId="5" borderId="17" xfId="0" applyFont="1" applyFill="1" applyBorder="1" applyAlignment="1">
      <alignment horizontal="center" vertical="center"/>
    </xf>
    <xf numFmtId="0" fontId="59" fillId="0" borderId="112" xfId="0" applyFont="1" applyFill="1" applyBorder="1" applyAlignment="1" applyProtection="1">
      <alignment horizontal="left" vertical="center" wrapText="1"/>
      <protection hidden="1"/>
    </xf>
    <xf numFmtId="0" fontId="55" fillId="5" borderId="32" xfId="0" applyFont="1" applyFill="1" applyBorder="1" applyAlignment="1">
      <alignment horizontal="center" vertical="center"/>
    </xf>
    <xf numFmtId="3" fontId="50" fillId="0" borderId="74" xfId="1" applyNumberFormat="1" applyFont="1" applyFill="1" applyBorder="1" applyAlignment="1" applyProtection="1">
      <alignment horizontal="right" vertical="center"/>
      <protection locked="0" hidden="1"/>
    </xf>
    <xf numFmtId="0" fontId="50" fillId="0" borderId="36" xfId="0" applyFont="1" applyFill="1" applyBorder="1" applyAlignment="1" applyProtection="1">
      <alignment horizontal="center" vertical="center"/>
      <protection locked="0"/>
    </xf>
    <xf numFmtId="164" fontId="50" fillId="0" borderId="150" xfId="1" applyNumberFormat="1" applyFont="1" applyFill="1" applyBorder="1" applyAlignment="1" applyProtection="1">
      <alignment horizontal="center" vertical="center"/>
      <protection locked="0" hidden="1"/>
    </xf>
    <xf numFmtId="3" fontId="50" fillId="0" borderId="150" xfId="4" applyNumberFormat="1" applyFont="1" applyFill="1" applyBorder="1" applyAlignment="1" applyProtection="1">
      <alignment horizontal="right" vertical="center"/>
      <protection locked="0" hidden="1"/>
    </xf>
    <xf numFmtId="0" fontId="50" fillId="5" borderId="73" xfId="0" applyFont="1" applyFill="1" applyBorder="1" applyAlignment="1">
      <alignment horizontal="center" vertical="center"/>
    </xf>
    <xf numFmtId="0" fontId="50" fillId="5" borderId="107" xfId="0" applyFont="1" applyFill="1" applyBorder="1" applyAlignment="1">
      <alignment horizontal="center" vertical="center"/>
    </xf>
    <xf numFmtId="166" fontId="50" fillId="5" borderId="47" xfId="0" applyNumberFormat="1" applyFont="1" applyFill="1" applyBorder="1" applyAlignment="1">
      <alignment horizontal="right" vertical="center"/>
    </xf>
    <xf numFmtId="0" fontId="59" fillId="0" borderId="113" xfId="0" applyFont="1" applyFill="1" applyBorder="1" applyAlignment="1" applyProtection="1">
      <alignment horizontal="left" vertical="center" wrapText="1"/>
      <protection hidden="1"/>
    </xf>
    <xf numFmtId="0" fontId="75" fillId="5" borderId="8" xfId="0" applyFont="1" applyFill="1" applyBorder="1" applyAlignment="1">
      <alignment horizontal="center" vertical="center" wrapText="1"/>
    </xf>
    <xf numFmtId="164" fontId="75" fillId="5" borderId="37" xfId="0" applyNumberFormat="1" applyFont="1" applyFill="1" applyBorder="1" applyAlignment="1">
      <alignment horizontal="center" vertical="center" wrapText="1"/>
    </xf>
    <xf numFmtId="0" fontId="43" fillId="5" borderId="39" xfId="0" applyFont="1" applyFill="1" applyBorder="1"/>
    <xf numFmtId="0" fontId="43" fillId="5" borderId="19" xfId="0" applyFont="1" applyFill="1" applyBorder="1"/>
    <xf numFmtId="164" fontId="75" fillId="5" borderId="8" xfId="0" applyNumberFormat="1" applyFont="1" applyFill="1" applyBorder="1" applyAlignment="1">
      <alignment horizontal="center" vertical="center" wrapText="1"/>
    </xf>
    <xf numFmtId="0" fontId="43" fillId="5" borderId="25" xfId="0" applyFont="1" applyFill="1" applyBorder="1"/>
    <xf numFmtId="166" fontId="67" fillId="5" borderId="27" xfId="0" applyNumberFormat="1" applyFont="1" applyFill="1" applyBorder="1" applyAlignment="1">
      <alignment horizontal="left" vertical="center"/>
    </xf>
    <xf numFmtId="0" fontId="55" fillId="0" borderId="0" xfId="0" applyFont="1" applyFill="1" applyBorder="1" applyAlignment="1">
      <alignment horizontal="left" vertical="center"/>
    </xf>
    <xf numFmtId="0" fontId="76" fillId="0" borderId="0" xfId="0" applyFont="1" applyFill="1" applyBorder="1" applyAlignment="1">
      <alignment vertical="center" wrapText="1"/>
    </xf>
    <xf numFmtId="0" fontId="50" fillId="0" borderId="0" xfId="0" applyFont="1" applyFill="1" applyBorder="1" applyAlignment="1">
      <alignment vertical="center" wrapText="1"/>
    </xf>
    <xf numFmtId="164" fontId="50" fillId="0" borderId="0" xfId="0" applyNumberFormat="1" applyFont="1" applyFill="1" applyBorder="1" applyAlignment="1">
      <alignment horizontal="left" vertical="center" wrapText="1"/>
    </xf>
    <xf numFmtId="0" fontId="77" fillId="0" borderId="0" xfId="0" applyFont="1"/>
    <xf numFmtId="0" fontId="50" fillId="0" borderId="0" xfId="0" applyFont="1" applyBorder="1" applyAlignment="1">
      <alignment wrapText="1"/>
    </xf>
    <xf numFmtId="0" fontId="49" fillId="0" borderId="0" xfId="0" applyFont="1" applyFill="1" applyBorder="1" applyAlignment="1">
      <alignment horizontal="left" vertical="center"/>
    </xf>
    <xf numFmtId="0" fontId="49" fillId="5" borderId="88" xfId="0" applyFont="1" applyFill="1" applyBorder="1" applyAlignment="1">
      <alignment horizontal="center" vertical="center" wrapText="1"/>
    </xf>
    <xf numFmtId="0" fontId="67" fillId="5" borderId="93" xfId="0" applyFont="1" applyFill="1" applyBorder="1" applyAlignment="1">
      <alignment horizontal="center" vertical="center" wrapText="1"/>
    </xf>
    <xf numFmtId="3" fontId="50" fillId="0" borderId="33" xfId="1" applyNumberFormat="1" applyFont="1" applyFill="1" applyBorder="1" applyAlignment="1" applyProtection="1">
      <alignment horizontal="center" vertical="center"/>
      <protection locked="0" hidden="1"/>
    </xf>
    <xf numFmtId="3" fontId="50" fillId="0" borderId="33" xfId="1" applyNumberFormat="1" applyFont="1" applyFill="1" applyBorder="1" applyAlignment="1" applyProtection="1">
      <alignment horizontal="center" vertical="center" wrapText="1"/>
      <protection locked="0" hidden="1"/>
    </xf>
    <xf numFmtId="0" fontId="50" fillId="0" borderId="33" xfId="1" applyNumberFormat="1" applyFont="1" applyFill="1" applyBorder="1" applyAlignment="1" applyProtection="1">
      <alignment horizontal="center" vertical="center"/>
      <protection locked="0" hidden="1"/>
    </xf>
    <xf numFmtId="0" fontId="50" fillId="5" borderId="154" xfId="0" applyFont="1" applyFill="1" applyBorder="1" applyAlignment="1">
      <alignment horizontal="center" vertical="center"/>
    </xf>
    <xf numFmtId="0" fontId="50" fillId="0" borderId="153" xfId="4" applyNumberFormat="1" applyFont="1" applyFill="1" applyBorder="1" applyAlignment="1" applyProtection="1">
      <alignment horizontal="center" vertical="center"/>
      <protection locked="0" hidden="1"/>
    </xf>
    <xf numFmtId="0" fontId="52" fillId="0" borderId="0" xfId="0" applyFont="1" applyFill="1" applyBorder="1" applyAlignment="1">
      <alignment horizontal="left" vertical="top"/>
    </xf>
    <xf numFmtId="0" fontId="75" fillId="0" borderId="0" xfId="0" applyFont="1" applyFill="1" applyBorder="1" applyAlignment="1">
      <alignment horizontal="right" vertical="center" wrapText="1"/>
    </xf>
    <xf numFmtId="166" fontId="67" fillId="0" borderId="0" xfId="0" applyNumberFormat="1" applyFont="1" applyFill="1" applyBorder="1" applyAlignment="1">
      <alignment horizontal="left" vertical="center"/>
    </xf>
    <xf numFmtId="0" fontId="55" fillId="0" borderId="10" xfId="0" applyFont="1" applyFill="1" applyBorder="1" applyAlignment="1">
      <alignment horizontal="left" vertical="center"/>
    </xf>
    <xf numFmtId="0" fontId="76" fillId="0" borderId="10" xfId="0" applyFont="1" applyFill="1" applyBorder="1" applyAlignment="1">
      <alignment vertical="center" wrapText="1"/>
    </xf>
    <xf numFmtId="0" fontId="50" fillId="0" borderId="10" xfId="0" applyFont="1" applyFill="1" applyBorder="1" applyAlignment="1">
      <alignment vertical="center" wrapText="1"/>
    </xf>
    <xf numFmtId="164" fontId="50" fillId="0" borderId="10" xfId="0" applyNumberFormat="1" applyFont="1" applyFill="1" applyBorder="1" applyAlignment="1">
      <alignment horizontal="left" vertical="center" wrapText="1"/>
    </xf>
    <xf numFmtId="0" fontId="77" fillId="0" borderId="10" xfId="0" applyFont="1" applyBorder="1"/>
    <xf numFmtId="0" fontId="75" fillId="0" borderId="10" xfId="0" applyFont="1" applyFill="1" applyBorder="1" applyAlignment="1">
      <alignment horizontal="right" vertical="center" wrapText="1"/>
    </xf>
    <xf numFmtId="166" fontId="67" fillId="0" borderId="10" xfId="0" applyNumberFormat="1" applyFont="1" applyFill="1" applyBorder="1" applyAlignment="1">
      <alignment horizontal="left" vertical="center"/>
    </xf>
    <xf numFmtId="0" fontId="49" fillId="5" borderId="88" xfId="0" applyFont="1" applyFill="1" applyBorder="1" applyAlignment="1" applyProtection="1">
      <alignment horizontal="center" vertical="center" wrapText="1"/>
    </xf>
    <xf numFmtId="0" fontId="49" fillId="5" borderId="93" xfId="0" applyFont="1" applyFill="1" applyBorder="1" applyAlignment="1">
      <alignment horizontal="center" vertical="center" wrapText="1"/>
    </xf>
    <xf numFmtId="0" fontId="49" fillId="5" borderId="90" xfId="0" applyFont="1" applyFill="1" applyBorder="1" applyAlignment="1">
      <alignment horizontal="center" vertical="center" wrapText="1"/>
    </xf>
    <xf numFmtId="0" fontId="67" fillId="5" borderId="93" xfId="1" applyNumberFormat="1" applyFont="1" applyFill="1" applyBorder="1" applyAlignment="1">
      <alignment horizontal="center" vertical="center" wrapText="1"/>
    </xf>
    <xf numFmtId="0" fontId="55" fillId="5" borderId="23" xfId="0" applyFont="1" applyFill="1" applyBorder="1" applyAlignment="1" applyProtection="1">
      <alignment horizontal="center" vertical="center"/>
    </xf>
    <xf numFmtId="0" fontId="50" fillId="0" borderId="17" xfId="0" applyFont="1" applyFill="1" applyBorder="1" applyAlignment="1" applyProtection="1">
      <alignment horizontal="center" vertical="center" wrapText="1"/>
      <protection locked="0"/>
    </xf>
    <xf numFmtId="3" fontId="55" fillId="0" borderId="20" xfId="0" applyNumberFormat="1" applyFont="1" applyFill="1" applyBorder="1" applyAlignment="1" applyProtection="1">
      <alignment horizontal="center" vertical="center" wrapText="1"/>
      <protection locked="0"/>
    </xf>
    <xf numFmtId="0" fontId="50" fillId="0" borderId="109" xfId="0" applyFont="1" applyBorder="1" applyAlignment="1" applyProtection="1">
      <alignment horizontal="center" vertical="center" wrapText="1"/>
      <protection locked="0"/>
    </xf>
    <xf numFmtId="0" fontId="59" fillId="0" borderId="115" xfId="0" applyFont="1" applyBorder="1" applyAlignment="1" applyProtection="1">
      <alignment vertical="center" wrapText="1"/>
      <protection hidden="1"/>
    </xf>
    <xf numFmtId="0" fontId="55" fillId="5" borderId="24" xfId="0" applyFont="1" applyFill="1" applyBorder="1" applyAlignment="1" applyProtection="1">
      <alignment horizontal="center" vertical="center"/>
    </xf>
    <xf numFmtId="0" fontId="50" fillId="0" borderId="18" xfId="0" applyFont="1" applyFill="1" applyBorder="1" applyAlignment="1" applyProtection="1">
      <alignment horizontal="center" vertical="center" wrapText="1"/>
      <protection locked="0"/>
    </xf>
    <xf numFmtId="0" fontId="50" fillId="0" borderId="14" xfId="0" applyFont="1" applyBorder="1" applyAlignment="1" applyProtection="1">
      <alignment horizontal="center" vertical="center" wrapText="1"/>
      <protection locked="0"/>
    </xf>
    <xf numFmtId="0" fontId="55" fillId="5" borderId="32" xfId="0" applyFont="1" applyFill="1" applyBorder="1" applyAlignment="1" applyProtection="1">
      <alignment horizontal="center" vertical="center"/>
    </xf>
    <xf numFmtId="0" fontId="50" fillId="0" borderId="43" xfId="0" applyFont="1" applyFill="1" applyBorder="1" applyAlignment="1" applyProtection="1">
      <alignment horizontal="center" vertical="center" wrapText="1"/>
      <protection locked="0"/>
    </xf>
    <xf numFmtId="3" fontId="55" fillId="0" borderId="137" xfId="0" applyNumberFormat="1" applyFont="1" applyFill="1" applyBorder="1" applyAlignment="1" applyProtection="1">
      <alignment horizontal="center" vertical="center" wrapText="1"/>
      <protection locked="0"/>
    </xf>
    <xf numFmtId="0" fontId="50" fillId="0" borderId="35" xfId="0" applyFont="1" applyBorder="1" applyAlignment="1" applyProtection="1">
      <alignment horizontal="center" vertical="center" wrapText="1"/>
      <protection locked="0"/>
    </xf>
    <xf numFmtId="0" fontId="59" fillId="0" borderId="113" xfId="0" applyFont="1" applyBorder="1" applyAlignment="1" applyProtection="1">
      <alignment vertical="center" wrapText="1"/>
      <protection hidden="1"/>
    </xf>
    <xf numFmtId="0" fontId="55"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wrapText="1"/>
      <protection locked="0"/>
    </xf>
    <xf numFmtId="3" fontId="55" fillId="0" borderId="25" xfId="0" applyNumberFormat="1" applyFont="1" applyFill="1" applyBorder="1" applyAlignment="1" applyProtection="1">
      <alignment horizontal="center" vertical="center" wrapText="1"/>
      <protection locked="0" hidden="1"/>
    </xf>
    <xf numFmtId="0" fontId="50"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55" fillId="0" borderId="0" xfId="0" applyFont="1" applyFill="1" applyBorder="1" applyAlignment="1">
      <alignment horizontal="center" vertical="center" wrapText="1"/>
    </xf>
    <xf numFmtId="166" fontId="50" fillId="0" borderId="0" xfId="0" applyNumberFormat="1" applyFont="1" applyFill="1" applyBorder="1" applyAlignment="1">
      <alignment horizontal="center" vertical="center"/>
    </xf>
    <xf numFmtId="0" fontId="59" fillId="0" borderId="0" xfId="0" applyFont="1" applyBorder="1" applyAlignment="1" applyProtection="1">
      <alignment wrapText="1"/>
      <protection hidden="1"/>
    </xf>
    <xf numFmtId="0" fontId="67" fillId="5" borderId="91" xfId="1" applyNumberFormat="1" applyFont="1" applyFill="1" applyBorder="1" applyAlignment="1">
      <alignment horizontal="center" vertical="center" wrapText="1"/>
    </xf>
    <xf numFmtId="0" fontId="67" fillId="5" borderId="92" xfId="1" applyNumberFormat="1" applyFont="1" applyFill="1" applyBorder="1" applyAlignment="1">
      <alignment horizontal="center" vertical="center" wrapText="1"/>
    </xf>
    <xf numFmtId="0" fontId="67" fillId="5" borderId="95" xfId="1" applyNumberFormat="1" applyFont="1" applyFill="1" applyBorder="1" applyAlignment="1">
      <alignment horizontal="center" vertical="center" wrapText="1"/>
    </xf>
    <xf numFmtId="0" fontId="49" fillId="5" borderId="23" xfId="0" applyFont="1" applyFill="1" applyBorder="1" applyAlignment="1" applyProtection="1">
      <alignment horizontal="center" vertical="center" wrapText="1"/>
    </xf>
    <xf numFmtId="0" fontId="55" fillId="0" borderId="152" xfId="0" applyFont="1" applyFill="1" applyBorder="1" applyAlignment="1" applyProtection="1">
      <alignment horizontal="center" vertical="center" wrapText="1"/>
      <protection locked="0"/>
    </xf>
    <xf numFmtId="166" fontId="50" fillId="0" borderId="109" xfId="0" applyNumberFormat="1" applyFont="1" applyFill="1" applyBorder="1" applyAlignment="1" applyProtection="1">
      <alignment horizontal="center" vertical="center"/>
      <protection locked="0"/>
    </xf>
    <xf numFmtId="166" fontId="50" fillId="0" borderId="108" xfId="0" applyNumberFormat="1" applyFont="1" applyFill="1" applyBorder="1" applyAlignment="1" applyProtection="1">
      <alignment horizontal="center" vertical="center"/>
      <protection locked="0"/>
    </xf>
    <xf numFmtId="0" fontId="49" fillId="5" borderId="24" xfId="0" applyFont="1" applyFill="1" applyBorder="1" applyAlignment="1" applyProtection="1">
      <alignment horizontal="center" vertical="center" wrapText="1"/>
    </xf>
    <xf numFmtId="0" fontId="55" fillId="0" borderId="31" xfId="0" applyFont="1" applyFill="1" applyBorder="1" applyAlignment="1" applyProtection="1">
      <alignment horizontal="center" vertical="center" wrapText="1"/>
      <protection locked="0"/>
    </xf>
    <xf numFmtId="166" fontId="50" fillId="0" borderId="14" xfId="0" applyNumberFormat="1" applyFont="1" applyFill="1" applyBorder="1" applyAlignment="1" applyProtection="1">
      <alignment horizontal="center" vertical="center"/>
      <protection locked="0"/>
    </xf>
    <xf numFmtId="166" fontId="50" fillId="0" borderId="45" xfId="0" applyNumberFormat="1" applyFont="1" applyFill="1" applyBorder="1" applyAlignment="1" applyProtection="1">
      <alignment horizontal="center" vertical="center"/>
      <protection locked="0"/>
    </xf>
    <xf numFmtId="0" fontId="59" fillId="0" borderId="112" xfId="0" applyFont="1" applyBorder="1" applyAlignment="1" applyProtection="1">
      <alignment vertical="center" wrapText="1"/>
      <protection hidden="1"/>
    </xf>
    <xf numFmtId="166" fontId="50" fillId="5" borderId="14" xfId="0" applyNumberFormat="1" applyFont="1" applyFill="1" applyBorder="1" applyAlignment="1" applyProtection="1">
      <alignment horizontal="center" vertical="center"/>
    </xf>
    <xf numFmtId="166" fontId="50" fillId="5" borderId="45" xfId="0" applyNumberFormat="1" applyFont="1" applyFill="1" applyBorder="1" applyAlignment="1" applyProtection="1">
      <alignment horizontal="center" vertical="center"/>
    </xf>
    <xf numFmtId="0" fontId="49" fillId="5" borderId="32" xfId="0" applyFont="1" applyFill="1" applyBorder="1" applyAlignment="1" applyProtection="1">
      <alignment horizontal="center" vertical="center" wrapText="1"/>
    </xf>
    <xf numFmtId="0" fontId="55" fillId="0" borderId="34" xfId="0" applyFont="1" applyFill="1" applyBorder="1" applyAlignment="1" applyProtection="1">
      <alignment horizontal="center" vertical="center" wrapText="1"/>
      <protection locked="0"/>
    </xf>
    <xf numFmtId="166" fontId="50" fillId="0" borderId="35" xfId="0" applyNumberFormat="1" applyFont="1" applyFill="1" applyBorder="1" applyAlignment="1" applyProtection="1">
      <alignment horizontal="center" vertical="center"/>
      <protection locked="0"/>
    </xf>
    <xf numFmtId="166" fontId="50" fillId="0" borderId="47" xfId="0" applyNumberFormat="1" applyFont="1" applyFill="1" applyBorder="1" applyAlignment="1" applyProtection="1">
      <alignment horizontal="center" vertical="center"/>
      <protection locked="0"/>
    </xf>
    <xf numFmtId="0" fontId="50" fillId="0" borderId="0" xfId="0" applyFont="1" applyFill="1" applyBorder="1" applyAlignment="1">
      <alignment horizontal="left" vertical="center" wrapText="1"/>
    </xf>
    <xf numFmtId="164" fontId="50" fillId="0" borderId="0" xfId="1" applyNumberFormat="1" applyFont="1" applyFill="1" applyBorder="1" applyAlignment="1">
      <alignment horizontal="left" vertical="center"/>
    </xf>
    <xf numFmtId="0" fontId="43" fillId="0" borderId="0" xfId="0" applyFont="1" applyBorder="1" applyAlignment="1">
      <alignment horizontal="center" wrapText="1"/>
    </xf>
    <xf numFmtId="0" fontId="49" fillId="5" borderId="92" xfId="0" applyFont="1" applyFill="1" applyBorder="1" applyAlignment="1">
      <alignment horizontal="center" vertical="center" wrapText="1"/>
    </xf>
    <xf numFmtId="0" fontId="49" fillId="5" borderId="127" xfId="0" applyFont="1" applyFill="1" applyBorder="1" applyAlignment="1">
      <alignment horizontal="center" vertical="center" wrapText="1"/>
    </xf>
    <xf numFmtId="0" fontId="49" fillId="5" borderId="91" xfId="0" applyFont="1" applyFill="1" applyBorder="1" applyAlignment="1">
      <alignment horizontal="center" vertical="center" wrapText="1"/>
    </xf>
    <xf numFmtId="166" fontId="50" fillId="0" borderId="15" xfId="4" applyNumberFormat="1" applyFont="1" applyFill="1" applyBorder="1" applyAlignment="1" applyProtection="1">
      <alignment horizontal="center" vertical="center"/>
      <protection locked="0"/>
    </xf>
    <xf numFmtId="166" fontId="50" fillId="5" borderId="110" xfId="4" applyNumberFormat="1" applyFont="1" applyFill="1" applyBorder="1" applyAlignment="1">
      <alignment horizontal="center" vertical="center"/>
    </xf>
    <xf numFmtId="166" fontId="50" fillId="0" borderId="38" xfId="4" applyNumberFormat="1" applyFont="1" applyFill="1" applyBorder="1" applyAlignment="1" applyProtection="1">
      <alignment horizontal="center" vertical="center"/>
      <protection locked="0"/>
    </xf>
    <xf numFmtId="166" fontId="50" fillId="0" borderId="17" xfId="4" applyNumberFormat="1" applyFont="1" applyFill="1" applyBorder="1" applyAlignment="1" applyProtection="1">
      <alignment horizontal="center" vertical="center"/>
      <protection locked="0"/>
    </xf>
    <xf numFmtId="166" fontId="50" fillId="0" borderId="83" xfId="4" applyNumberFormat="1" applyFont="1" applyFill="1" applyBorder="1" applyAlignment="1" applyProtection="1">
      <alignment horizontal="center" vertical="center"/>
      <protection locked="0"/>
    </xf>
    <xf numFmtId="0" fontId="50" fillId="5" borderId="83" xfId="0" applyFont="1" applyFill="1" applyBorder="1" applyAlignment="1">
      <alignment horizontal="center" vertical="center"/>
    </xf>
    <xf numFmtId="166" fontId="50" fillId="0" borderId="14" xfId="4" applyNumberFormat="1" applyFont="1" applyFill="1" applyBorder="1" applyAlignment="1" applyProtection="1">
      <alignment horizontal="center" vertical="center"/>
      <protection locked="0"/>
    </xf>
    <xf numFmtId="166" fontId="50" fillId="5" borderId="41" xfId="4" applyNumberFormat="1" applyFont="1" applyFill="1" applyBorder="1" applyAlignment="1">
      <alignment horizontal="center" vertical="center"/>
    </xf>
    <xf numFmtId="166" fontId="50" fillId="5" borderId="14" xfId="4" applyNumberFormat="1" applyFont="1" applyFill="1" applyBorder="1" applyAlignment="1">
      <alignment horizontal="center" vertical="center"/>
    </xf>
    <xf numFmtId="166" fontId="50" fillId="0" borderId="45" xfId="4" applyNumberFormat="1" applyFont="1" applyFill="1" applyBorder="1" applyAlignment="1" applyProtection="1">
      <alignment horizontal="center" vertical="center"/>
      <protection locked="0"/>
    </xf>
    <xf numFmtId="0" fontId="50" fillId="5" borderId="45" xfId="0" applyFont="1" applyFill="1" applyBorder="1" applyAlignment="1">
      <alignment horizontal="center" vertical="center"/>
    </xf>
    <xf numFmtId="166" fontId="50" fillId="5" borderId="35" xfId="4" applyNumberFormat="1" applyFont="1" applyFill="1" applyBorder="1" applyAlignment="1">
      <alignment horizontal="center" vertical="center"/>
    </xf>
    <xf numFmtId="166" fontId="50" fillId="0" borderId="47" xfId="4" applyNumberFormat="1" applyFont="1" applyFill="1" applyBorder="1" applyAlignment="1" applyProtection="1">
      <alignment horizontal="center" vertical="center"/>
      <protection locked="0"/>
    </xf>
    <xf numFmtId="166" fontId="50" fillId="5" borderId="34" xfId="4" applyNumberFormat="1" applyFont="1" applyFill="1" applyBorder="1" applyAlignment="1">
      <alignment horizontal="center" vertical="center"/>
    </xf>
    <xf numFmtId="0" fontId="50" fillId="5" borderId="47" xfId="0" applyFont="1" applyFill="1" applyBorder="1" applyAlignment="1">
      <alignment horizontal="center" vertical="center"/>
    </xf>
    <xf numFmtId="0" fontId="75" fillId="5" borderId="4" xfId="0" applyFont="1" applyFill="1" applyBorder="1" applyAlignment="1" applyProtection="1">
      <alignment horizontal="center" vertical="center" wrapText="1"/>
    </xf>
    <xf numFmtId="166" fontId="75" fillId="5" borderId="49" xfId="4" applyNumberFormat="1" applyFont="1" applyFill="1" applyBorder="1" applyAlignment="1">
      <alignment horizontal="center" vertical="center" wrapText="1"/>
    </xf>
    <xf numFmtId="166" fontId="50" fillId="5" borderId="42" xfId="4" applyNumberFormat="1" applyFont="1" applyFill="1" applyBorder="1" applyAlignment="1">
      <alignment horizontal="center" vertical="center"/>
    </xf>
    <xf numFmtId="166" fontId="50" fillId="5" borderId="48" xfId="4" applyNumberFormat="1" applyFont="1" applyFill="1" applyBorder="1" applyAlignment="1">
      <alignment horizontal="center" vertical="center"/>
    </xf>
    <xf numFmtId="166" fontId="50" fillId="5" borderId="49" xfId="4" applyNumberFormat="1" applyFont="1" applyFill="1" applyBorder="1" applyAlignment="1">
      <alignment horizontal="center" vertical="center"/>
    </xf>
    <xf numFmtId="166" fontId="75" fillId="5" borderId="50" xfId="4" applyNumberFormat="1" applyFont="1" applyFill="1" applyBorder="1" applyAlignment="1">
      <alignment horizontal="center" vertical="center" wrapText="1"/>
    </xf>
    <xf numFmtId="0" fontId="75" fillId="5" borderId="50" xfId="0" applyFont="1" applyFill="1" applyBorder="1" applyAlignment="1">
      <alignment horizontal="center" vertical="center" wrapText="1"/>
    </xf>
    <xf numFmtId="0" fontId="72" fillId="0" borderId="0" xfId="0" applyFont="1"/>
    <xf numFmtId="0" fontId="67" fillId="5" borderId="88" xfId="0" applyFont="1" applyFill="1" applyBorder="1" applyAlignment="1">
      <alignment horizontal="center" vertical="center" wrapText="1"/>
    </xf>
    <xf numFmtId="0" fontId="67" fillId="5" borderId="91" xfId="0" applyFont="1" applyFill="1" applyBorder="1" applyAlignment="1">
      <alignment horizontal="center" vertical="center" wrapText="1"/>
    </xf>
    <xf numFmtId="0" fontId="67" fillId="5" borderId="90" xfId="0" applyFont="1" applyFill="1" applyBorder="1" applyAlignment="1">
      <alignment horizontal="center" vertical="center" wrapText="1"/>
    </xf>
    <xf numFmtId="0" fontId="50" fillId="0" borderId="48" xfId="0" applyFont="1" applyFill="1" applyBorder="1" applyAlignment="1" applyProtection="1">
      <alignment horizontal="center" vertical="center"/>
      <protection locked="0"/>
    </xf>
    <xf numFmtId="0" fontId="50" fillId="0" borderId="73" xfId="0" applyFont="1" applyFill="1" applyBorder="1" applyAlignment="1" applyProtection="1">
      <alignment horizontal="center" vertical="center"/>
      <protection locked="0"/>
    </xf>
    <xf numFmtId="14" fontId="50" fillId="0" borderId="82" xfId="0" applyNumberFormat="1" applyFont="1" applyFill="1" applyBorder="1" applyAlignment="1" applyProtection="1">
      <alignment horizontal="center" vertical="center"/>
      <protection locked="0"/>
    </xf>
    <xf numFmtId="0" fontId="50" fillId="0" borderId="0" xfId="0" applyFont="1" applyBorder="1"/>
    <xf numFmtId="0" fontId="50" fillId="0" borderId="10" xfId="0" applyFont="1" applyBorder="1"/>
    <xf numFmtId="0" fontId="41" fillId="0" borderId="0" xfId="0" applyFont="1"/>
    <xf numFmtId="166" fontId="50" fillId="0" borderId="0" xfId="4" applyNumberFormat="1" applyFont="1"/>
    <xf numFmtId="0" fontId="78" fillId="5" borderId="108" xfId="0" applyFont="1" applyFill="1" applyBorder="1" applyAlignment="1" applyProtection="1">
      <alignment vertical="center" wrapText="1"/>
    </xf>
    <xf numFmtId="0" fontId="50" fillId="0" borderId="17" xfId="0" applyFont="1" applyFill="1" applyBorder="1" applyAlignment="1" applyProtection="1">
      <alignment horizontal="center" vertical="center"/>
      <protection locked="0"/>
    </xf>
    <xf numFmtId="0" fontId="50" fillId="0" borderId="40" xfId="0" applyFont="1" applyFill="1" applyBorder="1" applyAlignment="1" applyProtection="1">
      <alignment vertical="center"/>
      <protection locked="0"/>
    </xf>
    <xf numFmtId="0" fontId="50" fillId="5" borderId="17" xfId="0" applyFont="1" applyFill="1" applyBorder="1" applyAlignment="1">
      <alignment vertical="center"/>
    </xf>
    <xf numFmtId="0" fontId="50" fillId="0" borderId="80" xfId="0" applyFont="1" applyFill="1" applyBorder="1" applyAlignment="1" applyProtection="1">
      <alignment vertical="center"/>
      <protection locked="0"/>
    </xf>
    <xf numFmtId="0" fontId="50" fillId="5" borderId="83" xfId="0" applyFont="1" applyFill="1" applyBorder="1" applyAlignment="1">
      <alignment vertical="center"/>
    </xf>
    <xf numFmtId="0" fontId="78" fillId="5" borderId="47" xfId="0" applyFont="1" applyFill="1" applyBorder="1" applyAlignment="1" applyProtection="1">
      <alignment vertical="center" wrapText="1"/>
    </xf>
    <xf numFmtId="0" fontId="50" fillId="0" borderId="42" xfId="0" applyFont="1" applyFill="1" applyBorder="1" applyAlignment="1" applyProtection="1">
      <alignment vertical="center"/>
      <protection locked="0"/>
    </xf>
    <xf numFmtId="0" fontId="50" fillId="5" borderId="43" xfId="0" applyFont="1" applyFill="1" applyBorder="1" applyAlignment="1">
      <alignment vertical="center"/>
    </xf>
    <xf numFmtId="0" fontId="50" fillId="5" borderId="46" xfId="0" applyFont="1" applyFill="1" applyBorder="1" applyAlignment="1" applyProtection="1">
      <alignment vertical="center"/>
    </xf>
    <xf numFmtId="0" fontId="50" fillId="5" borderId="47" xfId="0" applyFont="1" applyFill="1" applyBorder="1" applyAlignment="1">
      <alignment vertical="center"/>
    </xf>
    <xf numFmtId="0" fontId="78" fillId="5" borderId="83" xfId="0" applyFont="1" applyFill="1" applyBorder="1" applyAlignment="1" applyProtection="1">
      <alignment vertical="center" wrapText="1"/>
    </xf>
    <xf numFmtId="0" fontId="50" fillId="0" borderId="120" xfId="0" applyFont="1" applyFill="1" applyBorder="1" applyAlignment="1" applyProtection="1">
      <alignment horizontal="center" vertical="center"/>
      <protection locked="0"/>
    </xf>
    <xf numFmtId="0" fontId="78" fillId="5" borderId="50" xfId="0" applyFont="1" applyFill="1" applyBorder="1" applyAlignment="1" applyProtection="1">
      <alignment vertical="center" wrapText="1"/>
    </xf>
    <xf numFmtId="0" fontId="50" fillId="0" borderId="107" xfId="0" applyFont="1" applyFill="1" applyBorder="1" applyAlignment="1" applyProtection="1">
      <alignment horizontal="center" vertical="center"/>
      <protection locked="0"/>
    </xf>
    <xf numFmtId="43" fontId="50" fillId="0" borderId="0" xfId="0" applyNumberFormat="1" applyFont="1"/>
    <xf numFmtId="0" fontId="78" fillId="5" borderId="76" xfId="0" applyFont="1" applyFill="1" applyBorder="1" applyAlignment="1" applyProtection="1">
      <alignment vertical="center" wrapText="1"/>
    </xf>
    <xf numFmtId="0" fontId="50" fillId="0" borderId="121" xfId="0" applyFont="1" applyFill="1" applyBorder="1" applyAlignment="1" applyProtection="1">
      <alignment vertical="center"/>
      <protection locked="0"/>
    </xf>
    <xf numFmtId="0" fontId="50" fillId="5" borderId="120" xfId="0" applyFont="1" applyFill="1" applyBorder="1" applyAlignment="1">
      <alignment vertical="center"/>
    </xf>
    <xf numFmtId="0" fontId="50" fillId="0" borderId="75" xfId="0" applyFont="1" applyFill="1" applyBorder="1" applyAlignment="1" applyProtection="1">
      <alignment vertical="center"/>
      <protection locked="0"/>
    </xf>
    <xf numFmtId="0" fontId="50" fillId="5" borderId="76" xfId="0" applyFont="1" applyFill="1" applyBorder="1" applyAlignment="1">
      <alignment vertical="center"/>
    </xf>
    <xf numFmtId="0" fontId="78" fillId="5" borderId="102" xfId="0" applyFont="1" applyFill="1" applyBorder="1" applyAlignment="1" applyProtection="1">
      <alignment vertical="center" wrapText="1"/>
    </xf>
    <xf numFmtId="0" fontId="50" fillId="0" borderId="128" xfId="0" applyFont="1" applyFill="1" applyBorder="1" applyAlignment="1" applyProtection="1">
      <alignment horizontal="center" vertical="center"/>
      <protection locked="0"/>
    </xf>
    <xf numFmtId="0" fontId="50" fillId="0" borderId="106" xfId="0" applyFont="1" applyFill="1" applyBorder="1" applyAlignment="1" applyProtection="1">
      <alignment vertical="center"/>
      <protection locked="0"/>
    </xf>
    <xf numFmtId="0" fontId="50" fillId="5" borderId="105" xfId="0" applyFont="1" applyFill="1" applyBorder="1" applyAlignment="1">
      <alignment vertical="center"/>
    </xf>
    <xf numFmtId="0" fontId="50" fillId="5" borderId="101" xfId="0" applyFont="1" applyFill="1" applyBorder="1" applyAlignment="1" applyProtection="1">
      <alignment vertical="center"/>
    </xf>
    <xf numFmtId="0" fontId="50" fillId="5" borderId="102" xfId="0" applyFont="1" applyFill="1" applyBorder="1" applyAlignment="1">
      <alignment vertical="center"/>
    </xf>
    <xf numFmtId="0" fontId="50" fillId="5" borderId="17" xfId="0" applyFont="1" applyFill="1" applyBorder="1" applyAlignment="1">
      <alignment horizontal="left" vertical="center"/>
    </xf>
    <xf numFmtId="9" fontId="50" fillId="5" borderId="83" xfId="3" applyFont="1" applyFill="1" applyBorder="1" applyAlignment="1">
      <alignment horizontal="left" vertical="center"/>
    </xf>
    <xf numFmtId="0" fontId="50" fillId="5" borderId="43" xfId="0" applyFont="1" applyFill="1" applyBorder="1" applyAlignment="1">
      <alignment horizontal="left" vertical="center"/>
    </xf>
    <xf numFmtId="9" fontId="50" fillId="5" borderId="47" xfId="3" applyFont="1" applyFill="1" applyBorder="1" applyAlignment="1">
      <alignment horizontal="left" vertical="center"/>
    </xf>
    <xf numFmtId="0" fontId="50" fillId="0" borderId="74" xfId="0" applyFont="1" applyFill="1" applyBorder="1" applyAlignment="1" applyProtection="1">
      <alignment vertical="center"/>
      <protection locked="0"/>
    </xf>
    <xf numFmtId="3" fontId="50" fillId="0" borderId="123" xfId="0" applyNumberFormat="1" applyFont="1" applyFill="1" applyBorder="1" applyAlignment="1" applyProtection="1">
      <alignment horizontal="center" vertical="center"/>
      <protection locked="0"/>
    </xf>
    <xf numFmtId="0" fontId="50" fillId="0" borderId="110" xfId="0" applyFont="1" applyFill="1" applyBorder="1" applyAlignment="1" applyProtection="1">
      <alignment vertical="center"/>
      <protection locked="0"/>
    </xf>
    <xf numFmtId="0" fontId="50" fillId="5" borderId="123" xfId="0" applyFont="1" applyFill="1" applyBorder="1" applyAlignment="1">
      <alignment horizontal="left" vertical="center"/>
    </xf>
    <xf numFmtId="0" fontId="50" fillId="0" borderId="124" xfId="0" applyFont="1" applyFill="1" applyBorder="1" applyAlignment="1" applyProtection="1">
      <alignment vertical="center"/>
      <protection locked="0"/>
    </xf>
    <xf numFmtId="9" fontId="50" fillId="5" borderId="108" xfId="3" applyFont="1" applyFill="1" applyBorder="1" applyAlignment="1">
      <alignment horizontal="left" vertical="center"/>
    </xf>
    <xf numFmtId="3" fontId="50" fillId="0" borderId="43" xfId="0" applyNumberFormat="1" applyFont="1" applyFill="1" applyBorder="1" applyAlignment="1" applyProtection="1">
      <alignment horizontal="center" vertical="center"/>
      <protection locked="0"/>
    </xf>
    <xf numFmtId="0" fontId="50" fillId="5" borderId="107" xfId="0" applyFont="1" applyFill="1" applyBorder="1" applyAlignment="1">
      <alignment horizontal="left" vertical="center"/>
    </xf>
    <xf numFmtId="9" fontId="50" fillId="5" borderId="50" xfId="3" applyFont="1" applyFill="1" applyBorder="1" applyAlignment="1">
      <alignment horizontal="left" vertical="center"/>
    </xf>
    <xf numFmtId="0" fontId="70" fillId="0" borderId="0" xfId="0" applyFont="1"/>
    <xf numFmtId="0" fontId="59" fillId="0" borderId="0" xfId="0" applyFont="1" applyBorder="1" applyAlignment="1"/>
    <xf numFmtId="0" fontId="50" fillId="5" borderId="54" xfId="0" applyFont="1" applyFill="1" applyBorder="1"/>
    <xf numFmtId="0" fontId="50" fillId="5" borderId="80" xfId="0" applyFont="1" applyFill="1" applyBorder="1"/>
    <xf numFmtId="0" fontId="50" fillId="5" borderId="108" xfId="0" applyFont="1" applyFill="1" applyBorder="1"/>
    <xf numFmtId="0" fontId="50" fillId="0" borderId="80" xfId="0" applyFont="1" applyFill="1" applyBorder="1" applyProtection="1">
      <protection locked="0"/>
    </xf>
    <xf numFmtId="0" fontId="50" fillId="5" borderId="83" xfId="0" applyFont="1" applyFill="1" applyBorder="1"/>
    <xf numFmtId="0" fontId="50" fillId="5" borderId="55" xfId="0" applyFont="1" applyFill="1" applyBorder="1"/>
    <xf numFmtId="0" fontId="50" fillId="5" borderId="44" xfId="0" applyFont="1" applyFill="1" applyBorder="1"/>
    <xf numFmtId="0" fontId="50" fillId="0" borderId="55" xfId="0" applyFont="1" applyFill="1" applyBorder="1" applyProtection="1">
      <protection locked="0"/>
    </xf>
    <xf numFmtId="0" fontId="50" fillId="5" borderId="45" xfId="0" applyFont="1" applyFill="1" applyBorder="1"/>
    <xf numFmtId="168" fontId="50" fillId="5" borderId="55" xfId="0" applyNumberFormat="1" applyFont="1" applyFill="1" applyBorder="1"/>
    <xf numFmtId="0" fontId="50" fillId="5" borderId="53" xfId="0" applyFont="1" applyFill="1" applyBorder="1"/>
    <xf numFmtId="0" fontId="50" fillId="5" borderId="46" xfId="0" applyFont="1" applyFill="1" applyBorder="1"/>
    <xf numFmtId="0" fontId="50" fillId="0" borderId="53" xfId="0" applyFont="1" applyFill="1" applyBorder="1" applyProtection="1">
      <protection locked="0"/>
    </xf>
    <xf numFmtId="0" fontId="50" fillId="5" borderId="47" xfId="0" applyFont="1" applyFill="1" applyBorder="1"/>
    <xf numFmtId="166" fontId="50" fillId="0" borderId="0" xfId="0" applyNumberFormat="1" applyFont="1"/>
    <xf numFmtId="9" fontId="50" fillId="0" borderId="0" xfId="0" applyNumberFormat="1" applyFont="1" applyBorder="1"/>
    <xf numFmtId="0" fontId="70" fillId="0" borderId="0" xfId="0" applyFont="1" applyAlignment="1"/>
    <xf numFmtId="0" fontId="70" fillId="0" borderId="0" xfId="0" applyFont="1" applyAlignment="1">
      <alignment vertical="top"/>
    </xf>
    <xf numFmtId="9" fontId="50" fillId="5" borderId="23" xfId="3" applyFont="1" applyFill="1" applyBorder="1" applyAlignment="1"/>
    <xf numFmtId="9" fontId="50" fillId="5" borderId="24" xfId="3" applyFont="1" applyFill="1" applyBorder="1" applyAlignment="1"/>
    <xf numFmtId="3" fontId="43" fillId="0" borderId="0" xfId="0" applyNumberFormat="1" applyFont="1"/>
    <xf numFmtId="9" fontId="50" fillId="5" borderId="24" xfId="3" applyFont="1" applyFill="1" applyBorder="1" applyAlignment="1">
      <alignment horizontal="right"/>
    </xf>
    <xf numFmtId="0" fontId="43" fillId="0" borderId="0" xfId="0" applyFont="1" applyAlignment="1"/>
    <xf numFmtId="0" fontId="71" fillId="0" borderId="13" xfId="0" applyFont="1" applyBorder="1"/>
    <xf numFmtId="14" fontId="50" fillId="0" borderId="0" xfId="0" applyNumberFormat="1" applyFont="1" applyFill="1" applyBorder="1" applyAlignment="1" applyProtection="1">
      <alignment horizontal="center" vertical="center"/>
      <protection locked="0"/>
    </xf>
    <xf numFmtId="0" fontId="55" fillId="0" borderId="0" xfId="0" applyFont="1" applyFill="1" applyBorder="1" applyAlignment="1">
      <alignment vertical="center" wrapText="1"/>
    </xf>
    <xf numFmtId="0" fontId="49" fillId="0" borderId="0" xfId="0" applyFont="1" applyFill="1" applyBorder="1" applyAlignment="1">
      <alignment vertical="center" wrapText="1"/>
    </xf>
    <xf numFmtId="0" fontId="55" fillId="0" borderId="0" xfId="0" applyFont="1" applyFill="1" applyBorder="1" applyAlignment="1">
      <alignment horizontal="right" vertical="center"/>
    </xf>
    <xf numFmtId="0" fontId="50" fillId="0" borderId="51" xfId="0" applyNumberFormat="1" applyFont="1" applyFill="1" applyBorder="1" applyAlignment="1" applyProtection="1">
      <alignment horizontal="center" vertical="center"/>
      <protection locked="0"/>
    </xf>
    <xf numFmtId="14" fontId="50" fillId="0" borderId="4" xfId="0" applyNumberFormat="1" applyFont="1" applyFill="1" applyBorder="1" applyAlignment="1" applyProtection="1">
      <alignment horizontal="center" vertical="center"/>
      <protection locked="0"/>
    </xf>
    <xf numFmtId="0" fontId="50" fillId="0" borderId="24" xfId="0" applyNumberFormat="1" applyFont="1" applyFill="1" applyBorder="1" applyAlignment="1" applyProtection="1">
      <alignment horizontal="center" vertical="center"/>
      <protection locked="0"/>
    </xf>
    <xf numFmtId="0" fontId="50" fillId="0" borderId="32" xfId="0" applyNumberFormat="1" applyFont="1" applyFill="1" applyBorder="1" applyAlignment="1" applyProtection="1">
      <alignment horizontal="center" vertical="center"/>
      <protection locked="0"/>
    </xf>
    <xf numFmtId="0" fontId="50" fillId="0" borderId="0" xfId="0" applyNumberFormat="1" applyFont="1" applyFill="1" applyBorder="1" applyAlignment="1" applyProtection="1">
      <alignment horizontal="center" vertical="center"/>
      <protection locked="0"/>
    </xf>
    <xf numFmtId="14" fontId="50" fillId="0" borderId="51" xfId="0" applyNumberFormat="1" applyFont="1" applyFill="1" applyBorder="1" applyAlignment="1" applyProtection="1">
      <alignment horizontal="center" vertical="center" wrapText="1"/>
      <protection locked="0"/>
    </xf>
    <xf numFmtId="14" fontId="50" fillId="0" borderId="32" xfId="0" applyNumberFormat="1" applyFont="1" applyFill="1" applyBorder="1" applyAlignment="1" applyProtection="1">
      <alignment horizontal="center" vertical="center" wrapText="1"/>
      <protection locked="0"/>
    </xf>
    <xf numFmtId="0" fontId="43" fillId="0" borderId="84" xfId="0" applyFont="1" applyBorder="1"/>
    <xf numFmtId="0" fontId="50" fillId="0" borderId="0" xfId="0" applyFont="1" applyFill="1" applyBorder="1" applyAlignment="1">
      <alignment horizontal="left" vertical="center"/>
    </xf>
    <xf numFmtId="0" fontId="49" fillId="2" borderId="28" xfId="0" applyFont="1" applyFill="1" applyBorder="1" applyAlignment="1">
      <alignment horizontal="center" vertical="center" wrapText="1"/>
    </xf>
    <xf numFmtId="0" fontId="49" fillId="2" borderId="29" xfId="0" applyFont="1" applyFill="1" applyBorder="1" applyAlignment="1">
      <alignment horizontal="center" vertical="center" wrapText="1"/>
    </xf>
    <xf numFmtId="0" fontId="49" fillId="5" borderId="29" xfId="0" applyFont="1" applyFill="1" applyBorder="1" applyAlignment="1">
      <alignment horizontal="center" vertical="center" wrapText="1"/>
    </xf>
    <xf numFmtId="0" fontId="49" fillId="2" borderId="76" xfId="0" applyFont="1" applyFill="1" applyBorder="1" applyAlignment="1">
      <alignment horizontal="center" vertical="center" wrapText="1"/>
    </xf>
    <xf numFmtId="0" fontId="49" fillId="5" borderId="136" xfId="0" applyFont="1" applyFill="1" applyBorder="1" applyAlignment="1">
      <alignment horizontal="center" vertical="center" wrapText="1"/>
    </xf>
    <xf numFmtId="0" fontId="49" fillId="5" borderId="86" xfId="0" applyFont="1" applyFill="1" applyBorder="1" applyAlignment="1">
      <alignment horizontal="center" vertical="center" wrapText="1"/>
    </xf>
    <xf numFmtId="0" fontId="49" fillId="5" borderId="0" xfId="0" applyFont="1" applyFill="1" applyBorder="1" applyAlignment="1">
      <alignment horizontal="center" vertical="center" wrapText="1"/>
    </xf>
    <xf numFmtId="0" fontId="49" fillId="5" borderId="54" xfId="0" applyFont="1" applyFill="1" applyBorder="1" applyAlignment="1">
      <alignment horizontal="center" vertical="center" wrapText="1"/>
    </xf>
    <xf numFmtId="0" fontId="49" fillId="5" borderId="15" xfId="0" applyFont="1" applyFill="1" applyBorder="1" applyAlignment="1">
      <alignment horizontal="center" vertical="center" wrapText="1"/>
    </xf>
    <xf numFmtId="0" fontId="49" fillId="5" borderId="83" xfId="0" applyFont="1" applyFill="1" applyBorder="1" applyAlignment="1">
      <alignment horizontal="center" vertical="center" wrapText="1"/>
    </xf>
    <xf numFmtId="0" fontId="49" fillId="5" borderId="38" xfId="0" applyFont="1" applyFill="1" applyBorder="1" applyAlignment="1">
      <alignment horizontal="center" vertical="center" wrapText="1"/>
    </xf>
    <xf numFmtId="0" fontId="49" fillId="5" borderId="97" xfId="0" applyFont="1" applyFill="1" applyBorder="1" applyAlignment="1">
      <alignment horizontal="center" vertical="center" wrapText="1"/>
    </xf>
    <xf numFmtId="0" fontId="49" fillId="5" borderId="98" xfId="0" applyFont="1" applyFill="1" applyBorder="1" applyAlignment="1">
      <alignment horizontal="center" vertical="center" wrapText="1"/>
    </xf>
    <xf numFmtId="0" fontId="49" fillId="5" borderId="102" xfId="0" applyFont="1" applyFill="1" applyBorder="1" applyAlignment="1">
      <alignment horizontal="center" vertical="center" wrapText="1"/>
    </xf>
    <xf numFmtId="0" fontId="49" fillId="5" borderId="101" xfId="0" applyFont="1" applyFill="1" applyBorder="1" applyAlignment="1">
      <alignment horizontal="center" vertical="center" wrapText="1"/>
    </xf>
    <xf numFmtId="0" fontId="49" fillId="5" borderId="100" xfId="0" applyFont="1" applyFill="1" applyBorder="1" applyAlignment="1">
      <alignment horizontal="center" vertical="center" wrapText="1"/>
    </xf>
    <xf numFmtId="0" fontId="49" fillId="5" borderId="99" xfId="0" applyFont="1" applyFill="1" applyBorder="1" applyAlignment="1">
      <alignment horizontal="center" vertical="center" wrapText="1"/>
    </xf>
    <xf numFmtId="0" fontId="49" fillId="5" borderId="134" xfId="0" applyFont="1" applyFill="1" applyBorder="1" applyAlignment="1">
      <alignment horizontal="center" vertical="center" wrapText="1"/>
    </xf>
    <xf numFmtId="0" fontId="50" fillId="5" borderId="142" xfId="0" applyFont="1" applyFill="1" applyBorder="1" applyAlignment="1">
      <alignment horizontal="center" vertical="center"/>
    </xf>
    <xf numFmtId="0" fontId="50" fillId="0" borderId="17" xfId="0" applyFont="1" applyFill="1" applyBorder="1" applyAlignment="1" applyProtection="1">
      <alignment horizontal="left" vertical="center" wrapText="1"/>
      <protection locked="0"/>
    </xf>
    <xf numFmtId="0" fontId="50" fillId="0" borderId="15" xfId="0" applyFont="1" applyFill="1" applyBorder="1" applyAlignment="1" applyProtection="1">
      <alignment horizontal="left" vertical="center" wrapText="1"/>
      <protection locked="0"/>
    </xf>
    <xf numFmtId="0" fontId="50" fillId="0" borderId="40" xfId="0" applyFont="1" applyFill="1" applyBorder="1" applyAlignment="1" applyProtection="1">
      <alignment horizontal="left" vertical="center" wrapText="1"/>
      <protection locked="0"/>
    </xf>
    <xf numFmtId="0" fontId="50" fillId="0" borderId="20" xfId="0" applyFont="1" applyFill="1" applyBorder="1" applyAlignment="1" applyProtection="1">
      <alignment horizontal="left" vertical="center" wrapText="1"/>
      <protection locked="0"/>
    </xf>
    <xf numFmtId="0" fontId="50" fillId="0" borderId="38" xfId="0" applyFont="1" applyFill="1" applyBorder="1" applyAlignment="1" applyProtection="1">
      <alignment horizontal="center" vertical="center"/>
      <protection locked="0"/>
    </xf>
    <xf numFmtId="0" fontId="50" fillId="0" borderId="109" xfId="0" applyFont="1" applyFill="1" applyBorder="1" applyAlignment="1" applyProtection="1">
      <alignment horizontal="center" vertical="center" wrapText="1"/>
      <protection locked="0"/>
    </xf>
    <xf numFmtId="9" fontId="50" fillId="5" borderId="20" xfId="3" applyFont="1" applyFill="1" applyBorder="1" applyAlignment="1" applyProtection="1">
      <alignment horizontal="center" vertical="center"/>
    </xf>
    <xf numFmtId="164" fontId="50" fillId="0" borderId="23" xfId="0" applyNumberFormat="1" applyFont="1" applyFill="1" applyBorder="1" applyAlignment="1" applyProtection="1">
      <alignment horizontal="center" vertical="center" wrapText="1"/>
      <protection locked="0"/>
    </xf>
    <xf numFmtId="164" fontId="50" fillId="0" borderId="15" xfId="1" applyNumberFormat="1" applyFont="1" applyFill="1" applyBorder="1" applyAlignment="1" applyProtection="1">
      <alignment horizontal="center" vertical="center"/>
      <protection locked="0"/>
    </xf>
    <xf numFmtId="164" fontId="50" fillId="5" borderId="83" xfId="1" applyNumberFormat="1" applyFont="1" applyFill="1" applyBorder="1" applyAlignment="1" applyProtection="1">
      <alignment horizontal="center" vertical="center"/>
    </xf>
    <xf numFmtId="164" fontId="50" fillId="0" borderId="80" xfId="1" applyNumberFormat="1" applyFont="1" applyFill="1" applyBorder="1" applyAlignment="1" applyProtection="1">
      <alignment horizontal="center" vertical="center"/>
      <protection locked="0"/>
    </xf>
    <xf numFmtId="166" fontId="50" fillId="0" borderId="20" xfId="4" applyNumberFormat="1" applyFont="1" applyFill="1" applyBorder="1" applyAlignment="1" applyProtection="1">
      <alignment horizontal="center" vertical="center"/>
      <protection locked="0"/>
    </xf>
    <xf numFmtId="43" fontId="50" fillId="5" borderId="54" xfId="4" applyNumberFormat="1" applyFont="1" applyFill="1" applyBorder="1" applyAlignment="1" applyProtection="1">
      <alignment horizontal="center" vertical="center"/>
    </xf>
    <xf numFmtId="43" fontId="50" fillId="5" borderId="15" xfId="4" applyNumberFormat="1" applyFont="1" applyFill="1" applyBorder="1" applyAlignment="1" applyProtection="1">
      <alignment horizontal="center" vertical="center"/>
    </xf>
    <xf numFmtId="43" fontId="50" fillId="5" borderId="83" xfId="4" applyNumberFormat="1" applyFont="1" applyFill="1" applyBorder="1" applyAlignment="1" applyProtection="1">
      <alignment horizontal="center" vertical="center"/>
    </xf>
    <xf numFmtId="43" fontId="50" fillId="5" borderId="38" xfId="4" applyNumberFormat="1" applyFont="1" applyFill="1" applyBorder="1" applyAlignment="1" applyProtection="1">
      <alignment horizontal="center" vertical="center"/>
    </xf>
    <xf numFmtId="43" fontId="50" fillId="5" borderId="109" xfId="4" applyNumberFormat="1" applyFont="1" applyFill="1" applyBorder="1" applyAlignment="1" applyProtection="1">
      <alignment horizontal="center" vertical="center"/>
    </xf>
    <xf numFmtId="43" fontId="50" fillId="5" borderId="108" xfId="4" applyNumberFormat="1" applyFont="1" applyFill="1" applyBorder="1" applyAlignment="1" applyProtection="1">
      <alignment horizontal="center" vertical="center"/>
    </xf>
    <xf numFmtId="165" fontId="50" fillId="5" borderId="38" xfId="3" applyNumberFormat="1" applyFont="1" applyFill="1" applyBorder="1" applyAlignment="1">
      <alignment horizontal="center" vertical="center"/>
    </xf>
    <xf numFmtId="165" fontId="50" fillId="5" borderId="20" xfId="3" applyNumberFormat="1" applyFont="1" applyFill="1" applyBorder="1" applyAlignment="1">
      <alignment horizontal="center" vertical="center"/>
    </xf>
    <xf numFmtId="0" fontId="50" fillId="0" borderId="20" xfId="3" applyNumberFormat="1" applyFont="1" applyFill="1" applyBorder="1" applyAlignment="1" applyProtection="1">
      <alignment horizontal="center" vertical="center"/>
      <protection locked="0"/>
    </xf>
    <xf numFmtId="0" fontId="50" fillId="5" borderId="24" xfId="0" applyFont="1" applyFill="1" applyBorder="1" applyAlignment="1">
      <alignment horizontal="center" vertical="center"/>
    </xf>
    <xf numFmtId="0" fontId="50" fillId="0" borderId="18" xfId="0" applyFont="1" applyFill="1" applyBorder="1" applyAlignment="1" applyProtection="1">
      <alignment horizontal="left" vertical="center" wrapText="1"/>
      <protection locked="0"/>
    </xf>
    <xf numFmtId="0" fontId="50" fillId="0" borderId="14" xfId="0" applyFont="1" applyFill="1" applyBorder="1" applyAlignment="1" applyProtection="1">
      <alignment horizontal="left" vertical="center" wrapText="1"/>
      <protection locked="0"/>
    </xf>
    <xf numFmtId="0" fontId="50" fillId="0" borderId="41" xfId="0" applyFont="1" applyFill="1" applyBorder="1" applyAlignment="1" applyProtection="1">
      <alignment horizontal="left" vertical="center" wrapText="1"/>
      <protection locked="0"/>
    </xf>
    <xf numFmtId="0" fontId="50" fillId="0" borderId="21" xfId="0" applyFont="1" applyFill="1" applyBorder="1" applyAlignment="1" applyProtection="1">
      <alignment horizontal="left" vertical="center" wrapText="1"/>
      <protection locked="0"/>
    </xf>
    <xf numFmtId="0" fontId="50" fillId="0" borderId="31" xfId="0" applyFont="1" applyFill="1" applyBorder="1" applyAlignment="1" applyProtection="1">
      <alignment horizontal="center" vertical="center"/>
      <protection locked="0"/>
    </xf>
    <xf numFmtId="0" fontId="50" fillId="0" borderId="14" xfId="0" applyFont="1" applyFill="1" applyBorder="1" applyAlignment="1" applyProtection="1">
      <alignment horizontal="center" vertical="center" wrapText="1"/>
      <protection locked="0"/>
    </xf>
    <xf numFmtId="164" fontId="50" fillId="0" borderId="24" xfId="0" applyNumberFormat="1" applyFont="1" applyFill="1" applyBorder="1" applyAlignment="1" applyProtection="1">
      <alignment horizontal="center" vertical="center" wrapText="1"/>
      <protection locked="0"/>
    </xf>
    <xf numFmtId="164" fontId="50" fillId="0" borderId="14" xfId="1" applyNumberFormat="1" applyFont="1" applyFill="1" applyBorder="1" applyAlignment="1" applyProtection="1">
      <alignment horizontal="center" vertical="center"/>
      <protection locked="0"/>
    </xf>
    <xf numFmtId="164" fontId="50" fillId="0" borderId="44" xfId="1" applyNumberFormat="1" applyFont="1" applyFill="1" applyBorder="1" applyAlignment="1" applyProtection="1">
      <alignment horizontal="center" vertical="center"/>
      <protection locked="0"/>
    </xf>
    <xf numFmtId="166" fontId="50" fillId="0" borderId="31" xfId="4" applyNumberFormat="1" applyFont="1" applyFill="1" applyBorder="1" applyAlignment="1" applyProtection="1">
      <alignment horizontal="center" vertical="center"/>
      <protection locked="0"/>
    </xf>
    <xf numFmtId="166" fontId="50" fillId="0" borderId="21" xfId="4" applyNumberFormat="1" applyFont="1" applyFill="1" applyBorder="1" applyAlignment="1" applyProtection="1">
      <alignment horizontal="center" vertical="center"/>
      <protection locked="0"/>
    </xf>
    <xf numFmtId="0" fontId="50" fillId="5" borderId="132" xfId="0" applyFont="1" applyFill="1" applyBorder="1" applyAlignment="1">
      <alignment horizontal="center" vertical="center"/>
    </xf>
    <xf numFmtId="0" fontId="50" fillId="0" borderId="155" xfId="0" applyFont="1" applyFill="1" applyBorder="1" applyAlignment="1" applyProtection="1">
      <alignment horizontal="left" vertical="center" wrapText="1"/>
      <protection locked="0"/>
    </xf>
    <xf numFmtId="0" fontId="50" fillId="0" borderId="144" xfId="0" applyFont="1" applyFill="1" applyBorder="1" applyAlignment="1" applyProtection="1">
      <alignment horizontal="left" vertical="center" wrapText="1"/>
      <protection locked="0"/>
    </xf>
    <xf numFmtId="0" fontId="50" fillId="0" borderId="150" xfId="0" applyFont="1" applyFill="1" applyBorder="1" applyAlignment="1" applyProtection="1">
      <alignment horizontal="left" vertical="center" wrapText="1"/>
      <protection locked="0"/>
    </xf>
    <xf numFmtId="0" fontId="50" fillId="0" borderId="145" xfId="0" applyFont="1" applyFill="1" applyBorder="1" applyAlignment="1" applyProtection="1">
      <alignment horizontal="left" vertical="center" wrapText="1"/>
      <protection locked="0"/>
    </xf>
    <xf numFmtId="0" fontId="50" fillId="0" borderId="146" xfId="0" applyFont="1" applyFill="1" applyBorder="1" applyAlignment="1" applyProtection="1">
      <alignment horizontal="center" vertical="center"/>
      <protection locked="0"/>
    </xf>
    <xf numFmtId="0" fontId="50" fillId="0" borderId="144" xfId="0" applyFont="1" applyFill="1" applyBorder="1" applyAlignment="1" applyProtection="1">
      <alignment horizontal="center" vertical="center" wrapText="1"/>
      <protection locked="0"/>
    </xf>
    <xf numFmtId="9" fontId="50" fillId="5" borderId="137" xfId="3" applyFont="1" applyFill="1" applyBorder="1" applyAlignment="1" applyProtection="1">
      <alignment horizontal="center" vertical="center"/>
    </xf>
    <xf numFmtId="164" fontId="50" fillId="0" borderId="132" xfId="0" applyNumberFormat="1" applyFont="1" applyFill="1" applyBorder="1" applyAlignment="1" applyProtection="1">
      <alignment horizontal="center" vertical="center" wrapText="1"/>
      <protection locked="0"/>
    </xf>
    <xf numFmtId="164" fontId="50" fillId="0" borderId="144" xfId="1" applyNumberFormat="1" applyFont="1" applyFill="1" applyBorder="1" applyAlignment="1" applyProtection="1">
      <alignment horizontal="center" vertical="center"/>
      <protection locked="0"/>
    </xf>
    <xf numFmtId="164" fontId="50" fillId="5" borderId="86" xfId="1" applyNumberFormat="1" applyFont="1" applyFill="1" applyBorder="1" applyAlignment="1" applyProtection="1">
      <alignment horizontal="center" vertical="center"/>
    </xf>
    <xf numFmtId="164" fontId="50" fillId="0" borderId="143" xfId="1" applyNumberFormat="1" applyFont="1" applyFill="1" applyBorder="1" applyAlignment="1" applyProtection="1">
      <alignment horizontal="center" vertical="center"/>
      <protection locked="0"/>
    </xf>
    <xf numFmtId="166" fontId="50" fillId="0" borderId="146" xfId="4" applyNumberFormat="1" applyFont="1" applyFill="1" applyBorder="1" applyAlignment="1" applyProtection="1">
      <alignment horizontal="center" vertical="center"/>
      <protection locked="0"/>
    </xf>
    <xf numFmtId="166" fontId="50" fillId="0" borderId="144" xfId="4" applyNumberFormat="1" applyFont="1" applyFill="1" applyBorder="1" applyAlignment="1" applyProtection="1">
      <alignment horizontal="center" vertical="center"/>
      <protection locked="0"/>
    </xf>
    <xf numFmtId="166" fontId="50" fillId="0" borderId="145" xfId="4" applyNumberFormat="1" applyFont="1" applyFill="1" applyBorder="1" applyAlignment="1" applyProtection="1">
      <alignment horizontal="center" vertical="center"/>
      <protection locked="0"/>
    </xf>
    <xf numFmtId="43" fontId="50" fillId="5" borderId="85" xfId="4" applyNumberFormat="1" applyFont="1" applyFill="1" applyBorder="1" applyAlignment="1" applyProtection="1">
      <alignment horizontal="center" vertical="center"/>
    </xf>
    <xf numFmtId="43" fontId="50" fillId="5" borderId="136" xfId="4" applyNumberFormat="1" applyFont="1" applyFill="1" applyBorder="1" applyAlignment="1" applyProtection="1">
      <alignment horizontal="center" vertical="center"/>
    </xf>
    <xf numFmtId="43" fontId="50" fillId="5" borderId="86" xfId="4" applyNumberFormat="1" applyFont="1" applyFill="1" applyBorder="1" applyAlignment="1" applyProtection="1">
      <alignment horizontal="center" vertical="center"/>
    </xf>
    <xf numFmtId="43" fontId="50" fillId="5" borderId="139" xfId="4" applyNumberFormat="1" applyFont="1" applyFill="1" applyBorder="1" applyAlignment="1" applyProtection="1">
      <alignment horizontal="center" vertical="center"/>
    </xf>
    <xf numFmtId="165" fontId="50" fillId="5" borderId="139" xfId="3" applyNumberFormat="1" applyFont="1" applyFill="1" applyBorder="1" applyAlignment="1">
      <alignment horizontal="center" vertical="center"/>
    </xf>
    <xf numFmtId="165" fontId="50" fillId="5" borderId="137" xfId="3" applyNumberFormat="1" applyFont="1" applyFill="1" applyBorder="1" applyAlignment="1">
      <alignment horizontal="center" vertical="center"/>
    </xf>
    <xf numFmtId="0" fontId="50" fillId="0" borderId="137" xfId="3" applyNumberFormat="1" applyFont="1" applyFill="1" applyBorder="1" applyAlignment="1" applyProtection="1">
      <alignment horizontal="center" vertical="center"/>
      <protection locked="0"/>
    </xf>
    <xf numFmtId="0" fontId="43" fillId="5" borderId="8" xfId="0" applyFont="1" applyFill="1" applyBorder="1" applyProtection="1"/>
    <xf numFmtId="0" fontId="43" fillId="5" borderId="25" xfId="0" applyFont="1" applyFill="1" applyBorder="1" applyProtection="1"/>
    <xf numFmtId="0" fontId="60" fillId="5" borderId="25" xfId="0" applyFont="1" applyFill="1" applyBorder="1" applyAlignment="1" applyProtection="1">
      <alignment horizontal="right"/>
    </xf>
    <xf numFmtId="0" fontId="60" fillId="5" borderId="25" xfId="0" applyFont="1" applyFill="1" applyBorder="1" applyProtection="1"/>
    <xf numFmtId="164" fontId="50" fillId="5" borderId="4" xfId="0" applyNumberFormat="1" applyFont="1" applyFill="1" applyBorder="1" applyAlignment="1" applyProtection="1">
      <alignment horizontal="center" vertical="center" wrapText="1"/>
    </xf>
    <xf numFmtId="164" fontId="50" fillId="5" borderId="16" xfId="1" applyNumberFormat="1" applyFont="1" applyFill="1" applyBorder="1" applyAlignment="1" applyProtection="1">
      <alignment horizontal="center" vertical="center"/>
    </xf>
    <xf numFmtId="164" fontId="50" fillId="5" borderId="22" xfId="1" applyNumberFormat="1" applyFont="1" applyFill="1" applyBorder="1" applyAlignment="1" applyProtection="1">
      <alignment horizontal="center" vertical="center"/>
    </xf>
    <xf numFmtId="164" fontId="50" fillId="5" borderId="25" xfId="1" applyNumberFormat="1" applyFont="1" applyFill="1" applyBorder="1" applyAlignment="1" applyProtection="1">
      <alignment horizontal="center" vertical="center"/>
    </xf>
    <xf numFmtId="164" fontId="50" fillId="5" borderId="27" xfId="1" applyNumberFormat="1" applyFont="1" applyFill="1" applyBorder="1" applyAlignment="1" applyProtection="1">
      <alignment horizontal="center" vertical="center"/>
    </xf>
    <xf numFmtId="166" fontId="50" fillId="5" borderId="37" xfId="4" applyNumberFormat="1" applyFont="1" applyFill="1" applyBorder="1" applyAlignment="1" applyProtection="1">
      <alignment horizontal="center" vertical="center"/>
    </xf>
    <xf numFmtId="166" fontId="50" fillId="5" borderId="16" xfId="4" applyNumberFormat="1" applyFont="1" applyFill="1" applyBorder="1" applyAlignment="1" applyProtection="1">
      <alignment horizontal="center" vertical="center"/>
    </xf>
    <xf numFmtId="166" fontId="50" fillId="5" borderId="22" xfId="4" applyNumberFormat="1" applyFont="1" applyFill="1" applyBorder="1" applyAlignment="1" applyProtection="1">
      <alignment horizontal="center" vertical="center"/>
    </xf>
    <xf numFmtId="166" fontId="50" fillId="5" borderId="8" xfId="4" applyNumberFormat="1" applyFont="1" applyFill="1" applyBorder="1" applyAlignment="1" applyProtection="1">
      <alignment horizontal="center" vertical="center"/>
    </xf>
    <xf numFmtId="166" fontId="50" fillId="5" borderId="25" xfId="4" applyNumberFormat="1" applyFont="1" applyFill="1" applyBorder="1" applyAlignment="1" applyProtection="1">
      <alignment horizontal="center" vertical="center"/>
    </xf>
    <xf numFmtId="166" fontId="50" fillId="5" borderId="27" xfId="4" applyNumberFormat="1" applyFont="1" applyFill="1" applyBorder="1" applyAlignment="1" applyProtection="1">
      <alignment horizontal="center" vertical="center"/>
    </xf>
    <xf numFmtId="165" fontId="50" fillId="5" borderId="37" xfId="3" applyNumberFormat="1" applyFont="1" applyFill="1" applyBorder="1" applyAlignment="1" applyProtection="1">
      <alignment horizontal="center" vertical="center"/>
    </xf>
    <xf numFmtId="165" fontId="50" fillId="5" borderId="22" xfId="3" applyNumberFormat="1" applyFont="1" applyFill="1" applyBorder="1" applyAlignment="1" applyProtection="1">
      <alignment horizontal="center" vertical="center"/>
    </xf>
    <xf numFmtId="165" fontId="50" fillId="5" borderId="4" xfId="3" applyNumberFormat="1" applyFont="1" applyFill="1" applyBorder="1" applyAlignment="1" applyProtection="1">
      <alignment horizontal="center" vertical="center"/>
    </xf>
    <xf numFmtId="0" fontId="55" fillId="0" borderId="0" xfId="0" applyFont="1" applyBorder="1"/>
    <xf numFmtId="0" fontId="49" fillId="5" borderId="28" xfId="0" applyFont="1" applyFill="1" applyBorder="1" applyAlignment="1">
      <alignment horizontal="center" vertical="center" wrapText="1"/>
    </xf>
    <xf numFmtId="0" fontId="49" fillId="5" borderId="30" xfId="0" applyFont="1" applyFill="1" applyBorder="1" applyAlignment="1">
      <alignment horizontal="center" vertical="center" wrapText="1"/>
    </xf>
    <xf numFmtId="0" fontId="49" fillId="5" borderId="144" xfId="0" applyFont="1" applyFill="1" applyBorder="1" applyAlignment="1">
      <alignment horizontal="center" vertical="center" wrapText="1"/>
    </xf>
    <xf numFmtId="0" fontId="49" fillId="5" borderId="20" xfId="0" applyFont="1" applyFill="1" applyBorder="1" applyAlignment="1">
      <alignment horizontal="center" vertical="center" wrapText="1"/>
    </xf>
    <xf numFmtId="0" fontId="50" fillId="0" borderId="54" xfId="0" applyFont="1" applyFill="1" applyBorder="1" applyAlignment="1" applyProtection="1">
      <alignment horizontal="center" vertical="center"/>
      <protection locked="0"/>
    </xf>
    <xf numFmtId="0" fontId="50" fillId="5" borderId="38" xfId="0" applyFont="1" applyFill="1" applyBorder="1" applyAlignment="1" applyProtection="1">
      <alignment vertical="center" wrapText="1"/>
      <protection hidden="1"/>
    </xf>
    <xf numFmtId="0" fontId="50" fillId="5" borderId="15" xfId="0" applyFont="1" applyFill="1" applyBorder="1" applyAlignment="1" applyProtection="1">
      <alignment vertical="center" wrapText="1"/>
      <protection hidden="1"/>
    </xf>
    <xf numFmtId="43" fontId="50" fillId="5" borderId="151" xfId="4" applyNumberFormat="1" applyFont="1" applyFill="1" applyBorder="1" applyAlignment="1" applyProtection="1">
      <alignment horizontal="center" vertical="center"/>
    </xf>
    <xf numFmtId="43" fontId="50" fillId="5" borderId="14" xfId="4" applyNumberFormat="1" applyFont="1" applyFill="1" applyBorder="1" applyAlignment="1" applyProtection="1">
      <alignment horizontal="center" vertical="center"/>
    </xf>
    <xf numFmtId="43" fontId="50" fillId="5" borderId="20" xfId="4" applyNumberFormat="1" applyFont="1" applyFill="1" applyBorder="1" applyAlignment="1" applyProtection="1">
      <alignment horizontal="center" vertical="center"/>
    </xf>
    <xf numFmtId="0" fontId="50" fillId="0" borderId="85" xfId="0" applyFont="1" applyFill="1" applyBorder="1" applyAlignment="1" applyProtection="1">
      <alignment horizontal="center" vertical="center"/>
      <protection locked="0"/>
    </xf>
    <xf numFmtId="9" fontId="50" fillId="5" borderId="145" xfId="3" applyFont="1" applyFill="1" applyBorder="1" applyAlignment="1" applyProtection="1">
      <alignment horizontal="center" vertical="center"/>
    </xf>
    <xf numFmtId="43" fontId="50" fillId="5" borderId="35" xfId="4" applyNumberFormat="1" applyFont="1" applyFill="1" applyBorder="1" applyAlignment="1" applyProtection="1">
      <alignment horizontal="center" vertical="center"/>
    </xf>
    <xf numFmtId="43" fontId="50" fillId="5" borderId="73" xfId="4" applyNumberFormat="1" applyFont="1" applyFill="1" applyBorder="1" applyAlignment="1" applyProtection="1">
      <alignment horizontal="center" vertical="center"/>
    </xf>
    <xf numFmtId="165" fontId="50" fillId="5" borderId="145" xfId="3" applyNumberFormat="1" applyFont="1" applyFill="1" applyBorder="1" applyAlignment="1">
      <alignment horizontal="center" vertical="center"/>
    </xf>
    <xf numFmtId="0" fontId="62" fillId="0" borderId="0" xfId="0" applyFont="1" applyFill="1" applyBorder="1" applyAlignment="1">
      <alignment wrapText="1"/>
    </xf>
    <xf numFmtId="0" fontId="49" fillId="5" borderId="39"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55" fillId="0" borderId="38" xfId="0" applyFont="1" applyFill="1" applyBorder="1" applyAlignment="1">
      <alignment horizontal="center" vertical="center"/>
    </xf>
    <xf numFmtId="0" fontId="55" fillId="0" borderId="15" xfId="0" applyFont="1" applyFill="1" applyBorder="1" applyAlignment="1" applyProtection="1">
      <alignment horizontal="left" vertical="center" wrapText="1" indent="1"/>
      <protection hidden="1"/>
    </xf>
    <xf numFmtId="0" fontId="55" fillId="0" borderId="40" xfId="0" applyFont="1" applyFill="1" applyBorder="1" applyAlignment="1">
      <alignment horizontal="center" vertical="center" wrapText="1"/>
    </xf>
    <xf numFmtId="164" fontId="55" fillId="0" borderId="38" xfId="1" applyNumberFormat="1" applyFont="1" applyFill="1" applyBorder="1" applyAlignment="1">
      <alignment horizontal="left" vertical="center"/>
    </xf>
    <xf numFmtId="164" fontId="55" fillId="0" borderId="20" xfId="1" applyNumberFormat="1" applyFont="1" applyFill="1" applyBorder="1" applyAlignment="1">
      <alignment horizontal="left" vertical="center"/>
    </xf>
    <xf numFmtId="3" fontId="55" fillId="0" borderId="28" xfId="0" applyNumberFormat="1" applyFont="1" applyFill="1" applyBorder="1" applyAlignment="1">
      <alignment horizontal="right" vertical="center"/>
    </xf>
    <xf numFmtId="3" fontId="55" fillId="0" borderId="29" xfId="0" applyNumberFormat="1" applyFont="1" applyFill="1" applyBorder="1" applyAlignment="1">
      <alignment horizontal="right" vertical="center"/>
    </xf>
    <xf numFmtId="3" fontId="49" fillId="0" borderId="80" xfId="0" applyNumberFormat="1" applyFont="1" applyFill="1" applyBorder="1" applyAlignment="1">
      <alignment horizontal="right" vertical="center"/>
    </xf>
    <xf numFmtId="0" fontId="49" fillId="0" borderId="20" xfId="0" applyFont="1" applyFill="1" applyBorder="1" applyAlignment="1">
      <alignment horizontal="left" vertical="center"/>
    </xf>
    <xf numFmtId="0" fontId="59" fillId="0" borderId="0" xfId="0" applyFont="1"/>
    <xf numFmtId="0" fontId="55" fillId="0" borderId="0" xfId="0" applyFont="1" applyFill="1"/>
    <xf numFmtId="0" fontId="50" fillId="0" borderId="0" xfId="0" applyFont="1" applyFill="1"/>
    <xf numFmtId="0" fontId="55" fillId="0" borderId="31" xfId="0" applyFont="1" applyFill="1" applyBorder="1" applyAlignment="1">
      <alignment horizontal="center" vertical="center"/>
    </xf>
    <xf numFmtId="0" fontId="55" fillId="0" borderId="14" xfId="0" applyFont="1" applyFill="1" applyBorder="1" applyAlignment="1" applyProtection="1">
      <alignment horizontal="left" vertical="center" wrapText="1" indent="1"/>
      <protection hidden="1"/>
    </xf>
    <xf numFmtId="0" fontId="55" fillId="0" borderId="41" xfId="0" applyFont="1" applyFill="1" applyBorder="1" applyAlignment="1">
      <alignment horizontal="center" vertical="center" wrapText="1"/>
    </xf>
    <xf numFmtId="164" fontId="55" fillId="0" borderId="31" xfId="1" applyNumberFormat="1" applyFont="1" applyFill="1" applyBorder="1" applyAlignment="1">
      <alignment horizontal="left" vertical="center"/>
    </xf>
    <xf numFmtId="164" fontId="55" fillId="0" borderId="21" xfId="1" applyNumberFormat="1" applyFont="1" applyFill="1" applyBorder="1" applyAlignment="1">
      <alignment horizontal="left" vertical="center"/>
    </xf>
    <xf numFmtId="3" fontId="55" fillId="0" borderId="31" xfId="0" applyNumberFormat="1" applyFont="1" applyFill="1" applyBorder="1" applyAlignment="1">
      <alignment horizontal="right" vertical="center"/>
    </xf>
    <xf numFmtId="3" fontId="55" fillId="0" borderId="14" xfId="0" applyNumberFormat="1" applyFont="1" applyFill="1" applyBorder="1" applyAlignment="1">
      <alignment horizontal="right" vertical="center"/>
    </xf>
    <xf numFmtId="0" fontId="49" fillId="0" borderId="21" xfId="0" applyFont="1" applyFill="1" applyBorder="1" applyAlignment="1">
      <alignment horizontal="left" vertical="center"/>
    </xf>
    <xf numFmtId="0" fontId="55" fillId="0" borderId="34" xfId="0" applyFont="1" applyFill="1" applyBorder="1" applyAlignment="1">
      <alignment horizontal="center" vertical="center"/>
    </xf>
    <xf numFmtId="0" fontId="55" fillId="0" borderId="35" xfId="0" applyFont="1" applyFill="1" applyBorder="1" applyAlignment="1" applyProtection="1">
      <alignment horizontal="left" vertical="center" wrapText="1" indent="1"/>
      <protection hidden="1"/>
    </xf>
    <xf numFmtId="0" fontId="55" fillId="0" borderId="42" xfId="0" applyFont="1" applyFill="1" applyBorder="1" applyAlignment="1">
      <alignment horizontal="center" vertical="center" wrapText="1"/>
    </xf>
    <xf numFmtId="164" fontId="55" fillId="0" borderId="34" xfId="1" applyNumberFormat="1" applyFont="1" applyFill="1" applyBorder="1" applyAlignment="1">
      <alignment horizontal="left" vertical="center"/>
    </xf>
    <xf numFmtId="164" fontId="55" fillId="0" borderId="36" xfId="1" applyNumberFormat="1" applyFont="1" applyFill="1" applyBorder="1" applyAlignment="1">
      <alignment horizontal="left" vertical="center"/>
    </xf>
    <xf numFmtId="3" fontId="55" fillId="0" borderId="34" xfId="0" applyNumberFormat="1" applyFont="1" applyFill="1" applyBorder="1" applyAlignment="1">
      <alignment horizontal="right" vertical="center"/>
    </xf>
    <xf numFmtId="3" fontId="55" fillId="0" borderId="35" xfId="0" applyNumberFormat="1" applyFont="1" applyFill="1" applyBorder="1" applyAlignment="1">
      <alignment horizontal="right" vertical="center"/>
    </xf>
    <xf numFmtId="3" fontId="49" fillId="0" borderId="35" xfId="0" applyNumberFormat="1" applyFont="1" applyFill="1" applyBorder="1" applyAlignment="1">
      <alignment horizontal="right" vertical="center"/>
    </xf>
    <xf numFmtId="0" fontId="49" fillId="0" borderId="36" xfId="0" applyFont="1" applyFill="1" applyBorder="1" applyAlignment="1">
      <alignment horizontal="left" vertical="center"/>
    </xf>
    <xf numFmtId="164" fontId="81" fillId="5" borderId="37" xfId="1" applyNumberFormat="1" applyFont="1" applyFill="1" applyBorder="1" applyAlignment="1">
      <alignment horizontal="left" vertical="center"/>
    </xf>
    <xf numFmtId="164" fontId="81" fillId="5" borderId="73" xfId="1" applyNumberFormat="1" applyFont="1" applyFill="1" applyBorder="1" applyAlignment="1">
      <alignment horizontal="left" vertical="center"/>
    </xf>
    <xf numFmtId="166" fontId="81" fillId="5" borderId="26" xfId="4" applyNumberFormat="1" applyFont="1" applyFill="1" applyBorder="1" applyAlignment="1">
      <alignment vertical="center"/>
    </xf>
    <xf numFmtId="0" fontId="81" fillId="5" borderId="73" xfId="0" applyFont="1" applyFill="1" applyBorder="1" applyAlignment="1">
      <alignment vertical="center"/>
    </xf>
    <xf numFmtId="0" fontId="82" fillId="0" borderId="0" xfId="0" applyFont="1" applyFill="1" applyAlignment="1">
      <alignment horizontal="left" wrapText="1"/>
    </xf>
    <xf numFmtId="0" fontId="50" fillId="0" borderId="0" xfId="0" applyFont="1" applyFill="1" applyBorder="1"/>
    <xf numFmtId="0" fontId="70" fillId="0" borderId="0" xfId="0" applyFont="1" applyFill="1" applyBorder="1" applyAlignment="1">
      <alignment wrapText="1"/>
    </xf>
    <xf numFmtId="0" fontId="49" fillId="5" borderId="51" xfId="0" applyFont="1" applyFill="1" applyBorder="1" applyAlignment="1">
      <alignment horizontal="center" vertical="center" wrapText="1"/>
    </xf>
    <xf numFmtId="0" fontId="49" fillId="5" borderId="32" xfId="0" applyFont="1" applyFill="1" applyBorder="1" applyAlignment="1">
      <alignment horizontal="center" vertical="center" wrapText="1"/>
    </xf>
    <xf numFmtId="0" fontId="49" fillId="5" borderId="35" xfId="0" applyFont="1" applyFill="1" applyBorder="1" applyAlignment="1">
      <alignment horizontal="center" vertical="center" wrapText="1"/>
    </xf>
    <xf numFmtId="0" fontId="49" fillId="5" borderId="36" xfId="0" applyFont="1" applyFill="1" applyBorder="1" applyAlignment="1">
      <alignment horizontal="center" vertical="center" wrapText="1"/>
    </xf>
    <xf numFmtId="0" fontId="49" fillId="5" borderId="34" xfId="0" applyFont="1" applyFill="1" applyBorder="1" applyAlignment="1">
      <alignment horizontal="center" vertical="center" wrapText="1"/>
    </xf>
    <xf numFmtId="0" fontId="50" fillId="0" borderId="23" xfId="0" applyFont="1" applyFill="1" applyBorder="1" applyAlignment="1">
      <alignment horizontal="center" vertical="center"/>
    </xf>
    <xf numFmtId="0" fontId="50" fillId="0" borderId="17" xfId="0" applyFont="1" applyFill="1" applyBorder="1" applyAlignment="1">
      <alignment horizontal="left" vertical="center" wrapText="1" indent="1"/>
    </xf>
    <xf numFmtId="164" fontId="50" fillId="0" borderId="23" xfId="0" applyNumberFormat="1" applyFont="1" applyFill="1" applyBorder="1" applyAlignment="1">
      <alignment horizontal="center" vertical="center" wrapText="1"/>
    </xf>
    <xf numFmtId="164" fontId="50" fillId="0" borderId="15" xfId="1" applyNumberFormat="1" applyFont="1" applyFill="1" applyBorder="1" applyAlignment="1">
      <alignment horizontal="center" vertical="center"/>
    </xf>
    <xf numFmtId="164" fontId="50" fillId="0" borderId="20" xfId="1" applyNumberFormat="1" applyFont="1" applyFill="1" applyBorder="1" applyAlignment="1">
      <alignment horizontal="center" vertical="center"/>
    </xf>
    <xf numFmtId="165" fontId="50" fillId="0" borderId="38" xfId="3" applyNumberFormat="1" applyFont="1" applyFill="1" applyBorder="1" applyAlignment="1">
      <alignment horizontal="center" vertical="center"/>
    </xf>
    <xf numFmtId="165" fontId="50" fillId="0" borderId="20" xfId="3" applyNumberFormat="1" applyFont="1" applyFill="1" applyBorder="1" applyAlignment="1">
      <alignment horizontal="center" vertical="center"/>
    </xf>
    <xf numFmtId="0" fontId="50" fillId="0" borderId="24" xfId="0" applyFont="1" applyFill="1" applyBorder="1" applyAlignment="1">
      <alignment horizontal="center" vertical="center"/>
    </xf>
    <xf numFmtId="0" fontId="60" fillId="0" borderId="8" xfId="0" applyFont="1" applyBorder="1" applyAlignment="1">
      <alignment horizontal="left" vertical="center"/>
    </xf>
    <xf numFmtId="0" fontId="60" fillId="0" borderId="25" xfId="0" applyFont="1" applyBorder="1" applyAlignment="1">
      <alignment horizontal="right" vertical="center"/>
    </xf>
    <xf numFmtId="164" fontId="60" fillId="0" borderId="4" xfId="0" applyNumberFormat="1" applyFont="1" applyBorder="1" applyAlignment="1">
      <alignment vertical="center"/>
    </xf>
    <xf numFmtId="164" fontId="60" fillId="0" borderId="16" xfId="0" applyNumberFormat="1" applyFont="1" applyBorder="1" applyAlignment="1">
      <alignment vertical="center"/>
    </xf>
    <xf numFmtId="164" fontId="60" fillId="0" borderId="22" xfId="0" applyNumberFormat="1" applyFont="1" applyBorder="1" applyAlignment="1">
      <alignment vertical="center"/>
    </xf>
    <xf numFmtId="165" fontId="60" fillId="0" borderId="37" xfId="3" applyNumberFormat="1" applyFont="1" applyBorder="1" applyAlignment="1">
      <alignment vertical="center"/>
    </xf>
    <xf numFmtId="165" fontId="60" fillId="0" borderId="22" xfId="3" applyNumberFormat="1" applyFont="1" applyBorder="1" applyAlignment="1">
      <alignment vertical="center"/>
    </xf>
    <xf numFmtId="0" fontId="50" fillId="0" borderId="38" xfId="0" applyFont="1" applyFill="1" applyBorder="1" applyAlignment="1">
      <alignment horizontal="center" vertical="center"/>
    </xf>
    <xf numFmtId="0" fontId="50" fillId="0" borderId="40" xfId="0" applyFont="1" applyFill="1" applyBorder="1" applyAlignment="1">
      <alignment horizontal="left" vertical="center" wrapText="1" indent="1"/>
    </xf>
    <xf numFmtId="166" fontId="50" fillId="0" borderId="38" xfId="4" applyNumberFormat="1" applyFont="1" applyFill="1" applyBorder="1" applyAlignment="1">
      <alignment horizontal="center" vertical="center"/>
    </xf>
    <xf numFmtId="166" fontId="50" fillId="0" borderId="15" xfId="4" applyNumberFormat="1" applyFont="1" applyFill="1" applyBorder="1" applyAlignment="1">
      <alignment horizontal="center" vertical="center"/>
    </xf>
    <xf numFmtId="166" fontId="50" fillId="0" borderId="20" xfId="4" applyNumberFormat="1" applyFont="1" applyFill="1" applyBorder="1" applyAlignment="1">
      <alignment horizontal="center" vertical="center"/>
    </xf>
    <xf numFmtId="0" fontId="50" fillId="0" borderId="31" xfId="0" applyFont="1" applyFill="1" applyBorder="1" applyAlignment="1">
      <alignment horizontal="center" vertical="center"/>
    </xf>
    <xf numFmtId="0" fontId="50" fillId="0" borderId="41" xfId="0" applyFont="1" applyFill="1" applyBorder="1" applyAlignment="1">
      <alignment horizontal="left" vertical="center" wrapText="1" indent="1"/>
    </xf>
    <xf numFmtId="166" fontId="50" fillId="0" borderId="14" xfId="4" applyNumberFormat="1" applyFont="1" applyFill="1" applyBorder="1" applyAlignment="1">
      <alignment horizontal="center" vertical="center"/>
    </xf>
    <xf numFmtId="166" fontId="50" fillId="0" borderId="21" xfId="4" applyNumberFormat="1" applyFont="1" applyFill="1" applyBorder="1" applyAlignment="1">
      <alignment horizontal="center" vertical="center"/>
    </xf>
    <xf numFmtId="0" fontId="60" fillId="0" borderId="27" xfId="0" applyFont="1" applyBorder="1" applyAlignment="1">
      <alignment horizontal="right" vertical="center"/>
    </xf>
    <xf numFmtId="37" fontId="60" fillId="0" borderId="37" xfId="0" applyNumberFormat="1" applyFont="1" applyBorder="1" applyAlignment="1">
      <alignment horizontal="center" vertical="center"/>
    </xf>
    <xf numFmtId="37" fontId="60" fillId="0" borderId="16" xfId="0" applyNumberFormat="1" applyFont="1" applyBorder="1" applyAlignment="1">
      <alignment horizontal="center" vertical="center"/>
    </xf>
    <xf numFmtId="37" fontId="60" fillId="0" borderId="22" xfId="0" applyNumberFormat="1" applyFont="1" applyBorder="1" applyAlignment="1">
      <alignment horizontal="center" vertical="center"/>
    </xf>
    <xf numFmtId="165" fontId="60" fillId="0" borderId="37" xfId="3" applyNumberFormat="1" applyFont="1" applyBorder="1" applyAlignment="1">
      <alignment horizontal="center" vertical="center"/>
    </xf>
    <xf numFmtId="165" fontId="60" fillId="0" borderId="22" xfId="3" applyNumberFormat="1" applyFont="1" applyBorder="1" applyAlignment="1">
      <alignment horizontal="center" vertical="center"/>
    </xf>
    <xf numFmtId="0" fontId="59" fillId="0" borderId="0" xfId="0" applyFont="1" applyBorder="1" applyAlignment="1">
      <alignment wrapText="1"/>
    </xf>
    <xf numFmtId="0" fontId="67" fillId="0" borderId="26" xfId="0" applyFont="1" applyBorder="1"/>
    <xf numFmtId="0" fontId="50" fillId="0" borderId="26" xfId="0" applyFont="1" applyBorder="1"/>
    <xf numFmtId="0" fontId="40" fillId="0" borderId="0" xfId="0" applyFont="1" applyFill="1"/>
    <xf numFmtId="0" fontId="33" fillId="16" borderId="0" xfId="0" applyFont="1" applyFill="1"/>
    <xf numFmtId="0" fontId="3" fillId="16" borderId="4" xfId="0" applyFont="1" applyFill="1" applyBorder="1"/>
    <xf numFmtId="0" fontId="52" fillId="0" borderId="0" xfId="0" applyFont="1" applyFill="1" applyBorder="1" applyAlignment="1">
      <alignment vertical="top" wrapText="1"/>
    </xf>
    <xf numFmtId="0" fontId="45" fillId="0" borderId="0" xfId="0" applyFont="1" applyFill="1" applyBorder="1" applyAlignment="1">
      <alignment horizontal="center"/>
    </xf>
    <xf numFmtId="0" fontId="44" fillId="0" borderId="0" xfId="0" applyFont="1" applyFill="1" applyBorder="1" applyAlignment="1">
      <alignment horizontal="center" wrapText="1"/>
    </xf>
    <xf numFmtId="0" fontId="49" fillId="0" borderId="4" xfId="0" applyFont="1" applyFill="1" applyBorder="1" applyAlignment="1">
      <alignment vertical="center" wrapText="1"/>
    </xf>
    <xf numFmtId="0" fontId="49" fillId="0" borderId="8" xfId="0" applyFont="1" applyFill="1" applyBorder="1" applyAlignment="1">
      <alignment vertical="center" wrapText="1"/>
    </xf>
    <xf numFmtId="0" fontId="49" fillId="0" borderId="25" xfId="0" applyFont="1" applyFill="1" applyBorder="1" applyAlignment="1">
      <alignment vertical="center" wrapText="1"/>
    </xf>
    <xf numFmtId="0" fontId="49" fillId="0" borderId="27" xfId="0" applyFont="1" applyFill="1" applyBorder="1" applyAlignment="1">
      <alignment vertical="center" wrapText="1"/>
    </xf>
    <xf numFmtId="0" fontId="53" fillId="0" borderId="0" xfId="0" quotePrefix="1" applyFont="1" applyFill="1" applyBorder="1" applyAlignment="1">
      <alignment wrapText="1"/>
    </xf>
    <xf numFmtId="0" fontId="53" fillId="0" borderId="0" xfId="0" quotePrefix="1" applyFont="1" applyFill="1" applyBorder="1"/>
    <xf numFmtId="0" fontId="50" fillId="5" borderId="55" xfId="0" applyFont="1" applyFill="1" applyBorder="1" applyAlignment="1" applyProtection="1">
      <alignment vertical="center" wrapText="1"/>
      <protection hidden="1"/>
    </xf>
    <xf numFmtId="0" fontId="50" fillId="5" borderId="44" xfId="0" applyFont="1" applyFill="1" applyBorder="1" applyAlignment="1" applyProtection="1">
      <alignment vertical="center" wrapText="1"/>
      <protection hidden="1"/>
    </xf>
    <xf numFmtId="0" fontId="50" fillId="5" borderId="45" xfId="0" applyFont="1" applyFill="1" applyBorder="1" applyAlignment="1" applyProtection="1">
      <alignment vertical="center" wrapText="1"/>
      <protection hidden="1"/>
    </xf>
    <xf numFmtId="0" fontId="49" fillId="15" borderId="81" xfId="0" applyFont="1" applyFill="1" applyBorder="1" applyAlignment="1" applyProtection="1">
      <alignment horizontal="center" vertical="center" wrapText="1"/>
    </xf>
    <xf numFmtId="0" fontId="49" fillId="15" borderId="82" xfId="0" applyFont="1" applyFill="1" applyBorder="1" applyAlignment="1" applyProtection="1">
      <alignment horizontal="center" vertical="center" wrapText="1"/>
    </xf>
    <xf numFmtId="0" fontId="50" fillId="5" borderId="52" xfId="0" applyFont="1" applyFill="1" applyBorder="1" applyAlignment="1" applyProtection="1">
      <alignment vertical="center" wrapText="1"/>
      <protection hidden="1"/>
    </xf>
    <xf numFmtId="0" fontId="50" fillId="5" borderId="75" xfId="0" applyFont="1" applyFill="1" applyBorder="1" applyAlignment="1" applyProtection="1">
      <alignment vertical="center" wrapText="1"/>
      <protection hidden="1"/>
    </xf>
    <xf numFmtId="0" fontId="50" fillId="5" borderId="76" xfId="0" applyFont="1" applyFill="1" applyBorder="1" applyAlignment="1" applyProtection="1">
      <alignment vertical="center" wrapText="1"/>
      <protection hidden="1"/>
    </xf>
    <xf numFmtId="0" fontId="49" fillId="5" borderId="77" xfId="0" applyFont="1" applyFill="1" applyBorder="1" applyAlignment="1">
      <alignment horizontal="center" vertical="center" wrapText="1"/>
    </xf>
    <xf numFmtId="0" fontId="49" fillId="5" borderId="48" xfId="0" applyFont="1" applyFill="1" applyBorder="1" applyAlignment="1">
      <alignment horizontal="center" vertical="center" wrapText="1"/>
    </xf>
    <xf numFmtId="0" fontId="49" fillId="5" borderId="79" xfId="0" applyFont="1" applyFill="1" applyBorder="1" applyAlignment="1">
      <alignment horizontal="center" vertical="center" wrapText="1"/>
    </xf>
    <xf numFmtId="0" fontId="49" fillId="5" borderId="73" xfId="0" applyFont="1" applyFill="1" applyBorder="1" applyAlignment="1">
      <alignment horizontal="center" vertical="center" wrapText="1"/>
    </xf>
    <xf numFmtId="0" fontId="50" fillId="0" borderId="85" xfId="0" applyFont="1" applyFill="1" applyBorder="1" applyAlignment="1" applyProtection="1">
      <alignment horizontal="center" vertical="center"/>
      <protection locked="0" hidden="1"/>
    </xf>
    <xf numFmtId="0" fontId="50" fillId="0" borderId="0" xfId="0" applyFont="1" applyFill="1" applyBorder="1" applyAlignment="1" applyProtection="1">
      <alignment horizontal="center" vertical="center"/>
      <protection locked="0" hidden="1"/>
    </xf>
    <xf numFmtId="164" fontId="49" fillId="5" borderId="8" xfId="0" applyNumberFormat="1" applyFont="1" applyFill="1" applyBorder="1" applyAlignment="1">
      <alignment horizontal="center" vertical="center"/>
    </xf>
    <xf numFmtId="164" fontId="49" fillId="5" borderId="27" xfId="0" applyNumberFormat="1" applyFont="1" applyFill="1" applyBorder="1" applyAlignment="1">
      <alignment horizontal="center" vertical="center"/>
    </xf>
    <xf numFmtId="0" fontId="49" fillId="5" borderId="8"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9" fillId="5" borderId="27" xfId="0" applyFont="1" applyFill="1" applyBorder="1" applyAlignment="1">
      <alignment horizontal="center" vertical="center" wrapText="1"/>
    </xf>
    <xf numFmtId="0" fontId="49" fillId="5" borderId="71" xfId="0" applyFont="1" applyFill="1" applyBorder="1" applyAlignment="1">
      <alignment horizontal="center" vertical="center" wrapText="1"/>
    </xf>
    <xf numFmtId="0" fontId="49" fillId="5" borderId="72" xfId="0" applyFont="1" applyFill="1" applyBorder="1" applyAlignment="1">
      <alignment horizontal="center" vertical="center" wrapText="1"/>
    </xf>
    <xf numFmtId="0" fontId="49" fillId="5" borderId="33" xfId="0" applyFont="1" applyFill="1" applyBorder="1" applyAlignment="1">
      <alignment horizontal="center" vertical="center" wrapText="1"/>
    </xf>
    <xf numFmtId="0" fontId="49" fillId="5" borderId="50" xfId="0" applyFont="1" applyFill="1" applyBorder="1" applyAlignment="1">
      <alignment horizontal="center" vertical="center" wrapText="1"/>
    </xf>
    <xf numFmtId="0" fontId="49" fillId="5" borderId="84" xfId="0" applyFont="1" applyFill="1" applyBorder="1" applyAlignment="1">
      <alignment horizontal="center" vertical="center" wrapText="1"/>
    </xf>
    <xf numFmtId="0" fontId="49" fillId="5" borderId="26" xfId="0" applyFont="1" applyFill="1" applyBorder="1" applyAlignment="1">
      <alignment horizontal="center" vertical="center" wrapText="1"/>
    </xf>
    <xf numFmtId="0" fontId="49" fillId="5" borderId="81" xfId="0" applyFont="1" applyFill="1" applyBorder="1" applyAlignment="1">
      <alignment horizontal="center" vertical="center" wrapText="1"/>
    </xf>
    <xf numFmtId="0" fontId="49" fillId="5" borderId="82" xfId="0" applyFont="1" applyFill="1" applyBorder="1" applyAlignment="1">
      <alignment horizontal="center" vertical="center" wrapText="1"/>
    </xf>
    <xf numFmtId="14" fontId="55" fillId="0" borderId="8" xfId="5" applyNumberFormat="1" applyFont="1" applyFill="1" applyBorder="1" applyAlignment="1" applyProtection="1">
      <alignment horizontal="left" vertical="center"/>
      <protection locked="0"/>
    </xf>
    <xf numFmtId="14" fontId="55" fillId="0" borderId="27" xfId="5" applyNumberFormat="1" applyFont="1" applyFill="1" applyBorder="1" applyAlignment="1" applyProtection="1">
      <alignment horizontal="left" vertical="center"/>
      <protection locked="0"/>
    </xf>
    <xf numFmtId="0" fontId="50" fillId="0" borderId="8" xfId="0" applyFont="1" applyFill="1" applyBorder="1" applyAlignment="1" applyProtection="1">
      <alignment horizontal="left" vertical="center"/>
      <protection locked="0"/>
    </xf>
    <xf numFmtId="0" fontId="50" fillId="0" borderId="25" xfId="0" applyFont="1" applyFill="1" applyBorder="1" applyAlignment="1" applyProtection="1">
      <alignment horizontal="left" vertical="center"/>
      <protection locked="0"/>
    </xf>
    <xf numFmtId="0" fontId="50" fillId="0" borderId="27" xfId="0" applyFont="1" applyFill="1" applyBorder="1" applyAlignment="1" applyProtection="1">
      <alignment horizontal="left" vertical="center"/>
      <protection locked="0"/>
    </xf>
    <xf numFmtId="0" fontId="50" fillId="0" borderId="4" xfId="0" applyFont="1" applyFill="1" applyBorder="1" applyAlignment="1" applyProtection="1">
      <alignment horizontal="left" vertical="center"/>
      <protection locked="0"/>
    </xf>
    <xf numFmtId="0" fontId="50" fillId="5" borderId="41" xfId="0" applyFont="1" applyFill="1" applyBorder="1" applyAlignment="1">
      <alignment vertical="center" wrapText="1"/>
    </xf>
    <xf numFmtId="0" fontId="50" fillId="5" borderId="45" xfId="0" applyFont="1" applyFill="1" applyBorder="1" applyAlignment="1">
      <alignment vertical="center" wrapText="1"/>
    </xf>
    <xf numFmtId="0" fontId="55" fillId="5" borderId="33" xfId="0" applyFont="1" applyFill="1" applyBorder="1" applyAlignment="1">
      <alignment vertical="center"/>
    </xf>
    <xf numFmtId="0" fontId="55" fillId="5" borderId="26" xfId="0" applyFont="1" applyFill="1" applyBorder="1" applyAlignment="1">
      <alignment vertical="center"/>
    </xf>
    <xf numFmtId="0" fontId="49" fillId="5" borderId="8" xfId="0" applyFont="1" applyFill="1" applyBorder="1" applyAlignment="1">
      <alignment vertical="center" wrapText="1"/>
    </xf>
    <xf numFmtId="0" fontId="49" fillId="5" borderId="25" xfId="0" applyFont="1" applyFill="1" applyBorder="1" applyAlignment="1">
      <alignment vertical="center" wrapText="1"/>
    </xf>
    <xf numFmtId="0" fontId="55" fillId="5" borderId="54" xfId="0" applyFont="1" applyFill="1" applyBorder="1" applyAlignment="1">
      <alignment vertical="center"/>
    </xf>
    <xf numFmtId="0" fontId="55" fillId="5" borderId="80" xfId="0" applyFont="1" applyFill="1" applyBorder="1" applyAlignment="1">
      <alignment vertical="center"/>
    </xf>
    <xf numFmtId="0" fontId="55" fillId="5" borderId="55" xfId="0" applyFont="1" applyFill="1" applyBorder="1" applyAlignment="1">
      <alignment vertical="center"/>
    </xf>
    <xf numFmtId="0" fontId="55" fillId="5" borderId="44" xfId="0" applyFont="1" applyFill="1" applyBorder="1" applyAlignment="1">
      <alignment vertical="center"/>
    </xf>
    <xf numFmtId="0" fontId="49" fillId="5" borderId="39" xfId="0" applyFont="1" applyFill="1" applyBorder="1" applyAlignment="1">
      <alignment vertical="center" wrapText="1"/>
    </xf>
    <xf numFmtId="0" fontId="49" fillId="5" borderId="27" xfId="0" applyFont="1" applyFill="1" applyBorder="1" applyAlignment="1">
      <alignment vertical="center" wrapText="1"/>
    </xf>
    <xf numFmtId="0" fontId="50" fillId="5" borderId="40" xfId="0" applyFont="1" applyFill="1" applyBorder="1" applyAlignment="1">
      <alignment vertical="center" wrapText="1"/>
    </xf>
    <xf numFmtId="0" fontId="50" fillId="5" borderId="83" xfId="0" applyFont="1" applyFill="1" applyBorder="1" applyAlignment="1">
      <alignment vertical="center" wrapText="1"/>
    </xf>
    <xf numFmtId="0" fontId="59" fillId="0" borderId="112" xfId="0" applyFont="1" applyBorder="1" applyAlignment="1" applyProtection="1">
      <alignment vertical="center" wrapText="1"/>
      <protection hidden="1"/>
    </xf>
    <xf numFmtId="0" fontId="59" fillId="0" borderId="113" xfId="0" applyFont="1" applyBorder="1" applyAlignment="1" applyProtection="1">
      <alignment vertical="center" wrapText="1"/>
      <protection hidden="1"/>
    </xf>
    <xf numFmtId="0" fontId="50" fillId="0" borderId="4" xfId="0" applyFont="1" applyFill="1" applyBorder="1" applyAlignment="1" applyProtection="1">
      <alignment horizontal="left" vertical="center" indent="1"/>
      <protection locked="0"/>
    </xf>
    <xf numFmtId="0" fontId="59" fillId="0" borderId="156" xfId="0" applyFont="1" applyBorder="1" applyAlignment="1" applyProtection="1">
      <alignment vertical="center" wrapText="1"/>
      <protection hidden="1"/>
    </xf>
    <xf numFmtId="0" fontId="67" fillId="5" borderId="94" xfId="0" applyFont="1" applyFill="1" applyBorder="1" applyAlignment="1">
      <alignment horizontal="center" vertical="center" wrapText="1"/>
    </xf>
    <xf numFmtId="0" fontId="67" fillId="5" borderId="95" xfId="0" applyFont="1" applyFill="1" applyBorder="1" applyAlignment="1">
      <alignment horizontal="center" vertical="center" wrapText="1"/>
    </xf>
    <xf numFmtId="0" fontId="70" fillId="0" borderId="0" xfId="0" applyFont="1" applyFill="1" applyBorder="1" applyAlignment="1">
      <alignment wrapText="1"/>
    </xf>
    <xf numFmtId="0" fontId="59" fillId="0" borderId="117" xfId="0" applyFont="1" applyBorder="1" applyAlignment="1" applyProtection="1">
      <alignment vertical="top" wrapText="1"/>
      <protection hidden="1"/>
    </xf>
    <xf numFmtId="0" fontId="59" fillId="0" borderId="133" xfId="0" applyFont="1" applyBorder="1" applyAlignment="1" applyProtection="1">
      <alignment vertical="top" wrapText="1"/>
      <protection hidden="1"/>
    </xf>
    <xf numFmtId="0" fontId="59" fillId="0" borderId="118" xfId="0" applyFont="1" applyBorder="1" applyAlignment="1" applyProtection="1">
      <alignment vertical="top" wrapText="1"/>
      <protection hidden="1"/>
    </xf>
    <xf numFmtId="0" fontId="67" fillId="5" borderId="4" xfId="0" applyFont="1" applyFill="1" applyBorder="1" applyAlignment="1">
      <alignment horizontal="center" vertical="center" wrapText="1"/>
    </xf>
    <xf numFmtId="0" fontId="67" fillId="5" borderId="8" xfId="0" applyFont="1" applyFill="1" applyBorder="1" applyAlignment="1">
      <alignment horizontal="center" vertical="center" wrapText="1"/>
    </xf>
    <xf numFmtId="0" fontId="50" fillId="0" borderId="110" xfId="0" applyFont="1" applyFill="1" applyBorder="1" applyAlignment="1" applyProtection="1">
      <alignment horizontal="left" vertical="center"/>
      <protection locked="0"/>
    </xf>
    <xf numFmtId="0" fontId="50" fillId="0" borderId="108" xfId="0" applyFont="1" applyFill="1" applyBorder="1" applyAlignment="1" applyProtection="1">
      <alignment horizontal="left" vertical="center"/>
      <protection locked="0"/>
    </xf>
    <xf numFmtId="0" fontId="50" fillId="0" borderId="41" xfId="0" applyFont="1" applyFill="1" applyBorder="1" applyAlignment="1" applyProtection="1">
      <alignment horizontal="left" vertical="center"/>
      <protection locked="0"/>
    </xf>
    <xf numFmtId="0" fontId="50" fillId="0" borderId="45" xfId="0" applyFont="1" applyFill="1" applyBorder="1" applyAlignment="1" applyProtection="1">
      <alignment horizontal="left" vertical="center"/>
      <protection locked="0"/>
    </xf>
    <xf numFmtId="0" fontId="50" fillId="0" borderId="53" xfId="0" applyFont="1" applyFill="1" applyBorder="1" applyAlignment="1" applyProtection="1">
      <alignment horizontal="left" vertical="center"/>
      <protection locked="0"/>
    </xf>
    <xf numFmtId="0" fontId="50" fillId="0" borderId="47" xfId="0" applyFont="1" applyFill="1" applyBorder="1" applyAlignment="1" applyProtection="1">
      <alignment horizontal="left" vertical="center"/>
      <protection locked="0"/>
    </xf>
    <xf numFmtId="0" fontId="74" fillId="5" borderId="94" xfId="0" applyFont="1" applyFill="1" applyBorder="1" applyAlignment="1">
      <alignment horizontal="left" vertical="center" wrapText="1"/>
    </xf>
    <xf numFmtId="0" fontId="49" fillId="5" borderId="95" xfId="0" applyFont="1" applyFill="1" applyBorder="1" applyAlignment="1">
      <alignment horizontal="left" vertical="center" wrapText="1"/>
    </xf>
    <xf numFmtId="0" fontId="68" fillId="0" borderId="111" xfId="0" applyFont="1" applyFill="1" applyBorder="1" applyAlignment="1">
      <alignment horizontal="center" vertical="center" wrapText="1"/>
    </xf>
    <xf numFmtId="0" fontId="68" fillId="0" borderId="116" xfId="0" applyFont="1" applyFill="1" applyBorder="1" applyAlignment="1">
      <alignment horizontal="center" vertical="center" wrapText="1"/>
    </xf>
    <xf numFmtId="0" fontId="75" fillId="5" borderId="8" xfId="0" applyFont="1" applyFill="1" applyBorder="1" applyAlignment="1">
      <alignment horizontal="right" vertical="center" wrapText="1"/>
    </xf>
    <xf numFmtId="0" fontId="75" fillId="5" borderId="25" xfId="0" applyFont="1" applyFill="1" applyBorder="1" applyAlignment="1">
      <alignment horizontal="right" vertical="center" wrapText="1"/>
    </xf>
    <xf numFmtId="0" fontId="62" fillId="0" borderId="0" xfId="0" applyFont="1" applyFill="1" applyBorder="1" applyAlignment="1">
      <alignment wrapText="1"/>
    </xf>
    <xf numFmtId="0" fontId="49" fillId="5" borderId="4" xfId="0" applyFont="1" applyFill="1" applyBorder="1" applyAlignment="1">
      <alignment horizontal="center" vertical="center" wrapText="1"/>
    </xf>
    <xf numFmtId="0" fontId="49" fillId="5" borderId="88" xfId="0" applyFont="1" applyFill="1" applyBorder="1" applyAlignment="1">
      <alignment horizontal="center" vertical="center" wrapText="1"/>
    </xf>
    <xf numFmtId="0" fontId="67" fillId="5" borderId="33" xfId="0" applyFont="1" applyFill="1" applyBorder="1" applyAlignment="1">
      <alignment horizontal="center"/>
    </xf>
    <xf numFmtId="0" fontId="67" fillId="5" borderId="26" xfId="0" applyFont="1" applyFill="1" applyBorder="1" applyAlignment="1">
      <alignment horizontal="center"/>
    </xf>
    <xf numFmtId="0" fontId="67" fillId="5" borderId="50" xfId="0" applyFont="1" applyFill="1" applyBorder="1" applyAlignment="1">
      <alignment horizontal="center"/>
    </xf>
    <xf numFmtId="0" fontId="49" fillId="5" borderId="8" xfId="0" applyFont="1" applyFill="1" applyBorder="1" applyAlignment="1">
      <alignment horizontal="center"/>
    </xf>
    <xf numFmtId="0" fontId="49" fillId="5" borderId="25" xfId="0" applyFont="1" applyFill="1" applyBorder="1" applyAlignment="1">
      <alignment horizontal="center"/>
    </xf>
    <xf numFmtId="0" fontId="49" fillId="5" borderId="27" xfId="0" applyFont="1" applyFill="1" applyBorder="1" applyAlignment="1">
      <alignment horizontal="center"/>
    </xf>
    <xf numFmtId="0" fontId="67" fillId="5" borderId="94" xfId="1" applyNumberFormat="1" applyFont="1" applyFill="1" applyBorder="1" applyAlignment="1">
      <alignment horizontal="center" vertical="center" wrapText="1"/>
    </xf>
    <xf numFmtId="0" fontId="67" fillId="5" borderId="95" xfId="1" applyNumberFormat="1" applyFont="1" applyFill="1" applyBorder="1" applyAlignment="1">
      <alignment horizontal="center" vertical="center" wrapText="1"/>
    </xf>
    <xf numFmtId="0" fontId="50" fillId="0" borderId="122" xfId="0" applyFont="1" applyFill="1" applyBorder="1" applyAlignment="1" applyProtection="1">
      <alignment horizontal="center" vertical="center" wrapText="1"/>
      <protection locked="0"/>
    </xf>
    <xf numFmtId="0" fontId="50" fillId="0" borderId="108" xfId="0" applyFont="1" applyFill="1" applyBorder="1" applyAlignment="1" applyProtection="1">
      <alignment horizontal="center" vertical="center" wrapText="1"/>
      <protection locked="0"/>
    </xf>
    <xf numFmtId="0" fontId="50" fillId="0" borderId="55" xfId="0" applyFont="1" applyBorder="1" applyAlignment="1" applyProtection="1">
      <alignment horizontal="center" vertical="center" wrapText="1"/>
      <protection locked="0"/>
    </xf>
    <xf numFmtId="0" fontId="50" fillId="0" borderId="45" xfId="0" applyFont="1" applyBorder="1" applyAlignment="1" applyProtection="1">
      <alignment horizontal="center" vertical="center" wrapText="1"/>
      <protection locked="0"/>
    </xf>
    <xf numFmtId="0" fontId="50" fillId="0" borderId="53" xfId="0" applyFont="1" applyBorder="1" applyAlignment="1" applyProtection="1">
      <alignment horizontal="center" vertical="center" wrapText="1"/>
      <protection locked="0"/>
    </xf>
    <xf numFmtId="0" fontId="50" fillId="0" borderId="47" xfId="0" applyFont="1" applyBorder="1" applyAlignment="1" applyProtection="1">
      <alignment horizontal="center" vertical="center" wrapText="1"/>
      <protection locked="0"/>
    </xf>
    <xf numFmtId="0" fontId="50" fillId="0" borderId="55" xfId="0" applyFont="1" applyBorder="1" applyProtection="1">
      <protection locked="0"/>
    </xf>
    <xf numFmtId="0" fontId="50" fillId="0" borderId="44" xfId="0" applyFont="1" applyBorder="1" applyProtection="1">
      <protection locked="0"/>
    </xf>
    <xf numFmtId="0" fontId="50" fillId="0" borderId="45" xfId="0" applyFont="1" applyBorder="1" applyProtection="1">
      <protection locked="0"/>
    </xf>
    <xf numFmtId="0" fontId="50" fillId="5" borderId="53" xfId="0" applyFont="1" applyFill="1" applyBorder="1" applyAlignment="1">
      <alignment horizontal="left"/>
    </xf>
    <xf numFmtId="0" fontId="50" fillId="5" borderId="47" xfId="0" applyFont="1" applyFill="1" applyBorder="1" applyAlignment="1">
      <alignment horizontal="left"/>
    </xf>
    <xf numFmtId="0" fontId="60" fillId="5" borderId="33" xfId="0" applyFont="1" applyFill="1" applyBorder="1"/>
    <xf numFmtId="0" fontId="60" fillId="5" borderId="50" xfId="0" applyFont="1" applyFill="1" applyBorder="1"/>
    <xf numFmtId="0" fontId="67" fillId="5" borderId="71" xfId="0" applyFont="1" applyFill="1" applyBorder="1" applyAlignment="1"/>
    <xf numFmtId="0" fontId="67" fillId="5" borderId="72" xfId="0" applyFont="1" applyFill="1" applyBorder="1" applyAlignment="1"/>
    <xf numFmtId="0" fontId="67" fillId="5" borderId="103" xfId="0" applyFont="1" applyFill="1" applyBorder="1" applyAlignment="1">
      <alignment horizontal="center"/>
    </xf>
    <xf numFmtId="0" fontId="67" fillId="5" borderId="104" xfId="0" applyFont="1" applyFill="1" applyBorder="1" applyAlignment="1">
      <alignment horizontal="center"/>
    </xf>
    <xf numFmtId="0" fontId="50" fillId="5" borderId="55" xfId="0" applyFont="1" applyFill="1" applyBorder="1" applyAlignment="1">
      <alignment horizontal="left"/>
    </xf>
    <xf numFmtId="0" fontId="50" fillId="5" borderId="45" xfId="0" applyFont="1" applyFill="1" applyBorder="1" applyAlignment="1">
      <alignment horizontal="left"/>
    </xf>
    <xf numFmtId="0" fontId="50" fillId="0" borderId="55" xfId="0" applyFont="1" applyFill="1" applyBorder="1" applyAlignment="1" applyProtection="1">
      <alignment horizontal="left"/>
      <protection locked="0"/>
    </xf>
    <xf numFmtId="0" fontId="50" fillId="0" borderId="45" xfId="0" applyFont="1" applyFill="1" applyBorder="1" applyAlignment="1" applyProtection="1">
      <alignment horizontal="left"/>
      <protection locked="0"/>
    </xf>
    <xf numFmtId="0" fontId="50" fillId="5" borderId="55" xfId="0" applyFont="1" applyFill="1" applyBorder="1" applyAlignment="1"/>
    <xf numFmtId="0" fontId="50" fillId="5" borderId="45" xfId="0" applyFont="1" applyFill="1" applyBorder="1" applyAlignment="1"/>
    <xf numFmtId="0" fontId="50" fillId="5" borderId="122" xfId="0" applyFont="1" applyFill="1" applyBorder="1" applyAlignment="1"/>
    <xf numFmtId="0" fontId="50" fillId="5" borderId="108" xfId="0" applyFont="1" applyFill="1" applyBorder="1" applyAlignment="1"/>
    <xf numFmtId="0" fontId="67" fillId="5" borderId="81" xfId="0" applyFont="1" applyFill="1" applyBorder="1" applyAlignment="1">
      <alignment horizontal="center" vertical="center" wrapText="1"/>
    </xf>
    <xf numFmtId="0" fontId="67" fillId="5" borderId="96" xfId="0" applyFont="1" applyFill="1" applyBorder="1" applyAlignment="1">
      <alignment horizontal="center" vertical="center" wrapText="1"/>
    </xf>
    <xf numFmtId="165" fontId="43" fillId="5" borderId="8" xfId="3" applyNumberFormat="1" applyFont="1" applyFill="1" applyBorder="1" applyAlignment="1">
      <alignment horizontal="center"/>
    </xf>
    <xf numFmtId="165" fontId="43" fillId="5" borderId="27" xfId="3" applyNumberFormat="1" applyFont="1" applyFill="1" applyBorder="1" applyAlignment="1">
      <alignment horizontal="center"/>
    </xf>
    <xf numFmtId="0" fontId="50" fillId="0" borderId="53" xfId="0" applyFont="1" applyBorder="1" applyProtection="1">
      <protection locked="0"/>
    </xf>
    <xf numFmtId="0" fontId="50" fillId="0" borderId="46" xfId="0" applyFont="1" applyBorder="1" applyProtection="1">
      <protection locked="0"/>
    </xf>
    <xf numFmtId="0" fontId="50" fillId="0" borderId="47" xfId="0" applyFont="1" applyBorder="1" applyProtection="1">
      <protection locked="0"/>
    </xf>
    <xf numFmtId="0" fontId="50" fillId="0" borderId="33" xfId="0" applyFont="1" applyFill="1" applyBorder="1" applyAlignment="1" applyProtection="1">
      <alignment wrapText="1"/>
      <protection locked="0"/>
    </xf>
    <xf numFmtId="0" fontId="50" fillId="0" borderId="26" xfId="0" applyFont="1" applyFill="1" applyBorder="1" applyAlignment="1" applyProtection="1">
      <alignment wrapText="1"/>
      <protection locked="0"/>
    </xf>
    <xf numFmtId="0" fontId="50" fillId="0" borderId="50" xfId="0" applyFont="1" applyFill="1" applyBorder="1" applyAlignment="1" applyProtection="1">
      <alignment wrapText="1"/>
      <protection locked="0"/>
    </xf>
    <xf numFmtId="3" fontId="50" fillId="0" borderId="55" xfId="0" applyNumberFormat="1" applyFont="1" applyFill="1" applyBorder="1" applyAlignment="1" applyProtection="1">
      <protection locked="0"/>
    </xf>
    <xf numFmtId="3" fontId="50" fillId="0" borderId="44" xfId="0" applyNumberFormat="1" applyFont="1" applyFill="1" applyBorder="1" applyAlignment="1" applyProtection="1">
      <protection locked="0"/>
    </xf>
    <xf numFmtId="0" fontId="50" fillId="0" borderId="122" xfId="0" applyFont="1" applyFill="1" applyBorder="1" applyAlignment="1" applyProtection="1">
      <alignment wrapText="1"/>
      <protection locked="0"/>
    </xf>
    <xf numFmtId="0" fontId="50" fillId="0" borderId="124" xfId="0" applyFont="1" applyFill="1" applyBorder="1" applyAlignment="1" applyProtection="1">
      <alignment wrapText="1"/>
      <protection locked="0"/>
    </xf>
    <xf numFmtId="0" fontId="50" fillId="0" borderId="108" xfId="0" applyFont="1" applyFill="1" applyBorder="1" applyAlignment="1" applyProtection="1">
      <alignment wrapText="1"/>
      <protection locked="0"/>
    </xf>
    <xf numFmtId="0" fontId="50" fillId="5" borderId="71" xfId="0" applyFont="1" applyFill="1" applyBorder="1" applyAlignment="1">
      <alignment horizontal="left" vertical="center" wrapText="1"/>
    </xf>
    <xf numFmtId="0" fontId="50" fillId="5" borderId="84" xfId="0" applyFont="1" applyFill="1" applyBorder="1" applyAlignment="1">
      <alignment horizontal="left" vertical="center" wrapText="1"/>
    </xf>
    <xf numFmtId="0" fontId="50" fillId="5" borderId="72" xfId="0" applyFont="1" applyFill="1" applyBorder="1" applyAlignment="1">
      <alignment horizontal="left" vertical="center" wrapText="1"/>
    </xf>
    <xf numFmtId="0" fontId="50" fillId="5" borderId="103" xfId="0" applyFont="1" applyFill="1" applyBorder="1" applyAlignment="1">
      <alignment horizontal="left" vertical="center" wrapText="1"/>
    </xf>
    <xf numFmtId="0" fontId="50" fillId="5" borderId="87" xfId="0" applyFont="1" applyFill="1" applyBorder="1" applyAlignment="1">
      <alignment horizontal="left" vertical="center" wrapText="1"/>
    </xf>
    <xf numFmtId="0" fontId="50" fillId="5" borderId="104" xfId="0" applyFont="1" applyFill="1" applyBorder="1" applyAlignment="1">
      <alignment horizontal="left" vertical="center" wrapText="1"/>
    </xf>
    <xf numFmtId="0" fontId="50" fillId="5" borderId="8" xfId="0" applyFont="1" applyFill="1" applyBorder="1" applyAlignment="1">
      <alignment vertical="center"/>
    </xf>
    <xf numFmtId="0" fontId="50" fillId="5" borderId="25" xfId="0" applyFont="1" applyFill="1" applyBorder="1" applyAlignment="1">
      <alignment vertical="center"/>
    </xf>
    <xf numFmtId="0" fontId="50" fillId="5" borderId="27" xfId="0" applyFont="1" applyFill="1" applyBorder="1" applyAlignment="1">
      <alignment vertical="center"/>
    </xf>
    <xf numFmtId="0" fontId="67" fillId="5" borderId="71" xfId="0" applyFont="1" applyFill="1" applyBorder="1" applyAlignment="1">
      <alignment horizontal="center" vertical="center"/>
    </xf>
    <xf numFmtId="0" fontId="67" fillId="5" borderId="72" xfId="0" applyFont="1" applyFill="1" applyBorder="1" applyAlignment="1">
      <alignment horizontal="center" vertical="center"/>
    </xf>
    <xf numFmtId="0" fontId="67" fillId="5" borderId="103" xfId="0" applyFont="1" applyFill="1" applyBorder="1" applyAlignment="1">
      <alignment horizontal="center" vertical="center"/>
    </xf>
    <xf numFmtId="0" fontId="67" fillId="5" borderId="104" xfId="0" applyFont="1" applyFill="1" applyBorder="1" applyAlignment="1">
      <alignment horizontal="center" vertical="center"/>
    </xf>
    <xf numFmtId="0" fontId="50" fillId="5" borderId="71" xfId="0" applyFont="1" applyFill="1" applyBorder="1" applyAlignment="1">
      <alignment vertical="center" wrapText="1"/>
    </xf>
    <xf numFmtId="0" fontId="50" fillId="5" borderId="72" xfId="0" applyFont="1" applyFill="1" applyBorder="1" applyAlignment="1">
      <alignment vertical="center" wrapText="1"/>
    </xf>
    <xf numFmtId="0" fontId="50" fillId="5" borderId="33" xfId="0" applyFont="1" applyFill="1" applyBorder="1" applyAlignment="1">
      <alignment vertical="center" wrapText="1"/>
    </xf>
    <xf numFmtId="0" fontId="50" fillId="5" borderId="50" xfId="0" applyFont="1" applyFill="1" applyBorder="1" applyAlignment="1">
      <alignment vertical="center" wrapText="1"/>
    </xf>
    <xf numFmtId="9" fontId="50" fillId="0" borderId="126" xfId="3" applyFont="1" applyFill="1" applyBorder="1" applyAlignment="1" applyProtection="1">
      <alignment horizontal="center" vertical="center"/>
      <protection locked="0"/>
    </xf>
    <xf numFmtId="9" fontId="50" fillId="0" borderId="128" xfId="3" applyFont="1" applyFill="1" applyBorder="1" applyAlignment="1" applyProtection="1">
      <alignment horizontal="center" vertical="center"/>
      <protection locked="0"/>
    </xf>
    <xf numFmtId="0" fontId="78" fillId="5" borderId="125" xfId="0" applyFont="1" applyFill="1" applyBorder="1" applyAlignment="1" applyProtection="1">
      <alignment horizontal="left" vertical="center" wrapText="1"/>
    </xf>
    <xf numFmtId="0" fontId="78" fillId="5" borderId="33" xfId="0" applyFont="1" applyFill="1" applyBorder="1" applyAlignment="1" applyProtection="1">
      <alignment horizontal="left" vertical="center" wrapText="1"/>
    </xf>
    <xf numFmtId="0" fontId="78" fillId="5" borderId="71" xfId="0" applyFont="1" applyFill="1" applyBorder="1" applyAlignment="1" applyProtection="1">
      <alignment horizontal="left" vertical="center" wrapText="1"/>
    </xf>
    <xf numFmtId="9" fontId="50" fillId="0" borderId="121" xfId="3" applyFont="1" applyFill="1" applyBorder="1" applyAlignment="1" applyProtection="1">
      <alignment horizontal="center" vertical="center"/>
      <protection locked="0"/>
    </xf>
    <xf numFmtId="9" fontId="50" fillId="0" borderId="120" xfId="3" applyFont="1" applyFill="1" applyBorder="1" applyAlignment="1" applyProtection="1">
      <alignment horizontal="center" vertical="center"/>
      <protection locked="0"/>
    </xf>
    <xf numFmtId="9" fontId="50" fillId="0" borderId="42" xfId="3" applyFont="1" applyFill="1" applyBorder="1" applyAlignment="1" applyProtection="1">
      <alignment horizontal="center" vertical="center"/>
      <protection locked="0"/>
    </xf>
    <xf numFmtId="9" fontId="50" fillId="0" borderId="43" xfId="3" applyFont="1" applyFill="1" applyBorder="1" applyAlignment="1" applyProtection="1">
      <alignment horizontal="center" vertical="center"/>
      <protection locked="0"/>
    </xf>
    <xf numFmtId="9" fontId="50" fillId="0" borderId="110" xfId="3" applyFont="1" applyFill="1" applyBorder="1" applyAlignment="1" applyProtection="1">
      <alignment horizontal="center" vertical="center"/>
      <protection locked="0"/>
    </xf>
    <xf numFmtId="9" fontId="50" fillId="0" borderId="123" xfId="3" applyFont="1" applyFill="1" applyBorder="1" applyAlignment="1" applyProtection="1">
      <alignment horizontal="center" vertical="center"/>
      <protection locked="0"/>
    </xf>
    <xf numFmtId="0" fontId="67" fillId="5" borderId="52" xfId="0" applyFont="1" applyFill="1" applyBorder="1" applyAlignment="1">
      <alignment horizontal="center"/>
    </xf>
    <xf numFmtId="0" fontId="67" fillId="5" borderId="75" xfId="0" applyFont="1" applyFill="1" applyBorder="1" applyAlignment="1">
      <alignment horizontal="center"/>
    </xf>
    <xf numFmtId="0" fontId="67" fillId="5" borderId="76" xfId="0" applyFont="1" applyFill="1" applyBorder="1" applyAlignment="1">
      <alignment horizontal="center"/>
    </xf>
    <xf numFmtId="0" fontId="67" fillId="5" borderId="87" xfId="0" applyFont="1" applyFill="1" applyBorder="1" applyAlignment="1">
      <alignment horizontal="center"/>
    </xf>
    <xf numFmtId="0" fontId="67" fillId="5" borderId="8" xfId="0" applyFont="1" applyFill="1" applyBorder="1" applyAlignment="1">
      <alignment horizontal="center" vertical="center"/>
    </xf>
    <xf numFmtId="0" fontId="67" fillId="5" borderId="25" xfId="0" applyFont="1" applyFill="1" applyBorder="1" applyAlignment="1">
      <alignment horizontal="center" vertical="center"/>
    </xf>
    <xf numFmtId="0" fontId="67" fillId="5" borderId="27" xfId="0" applyFont="1" applyFill="1" applyBorder="1" applyAlignment="1">
      <alignment horizontal="center" vertical="center"/>
    </xf>
    <xf numFmtId="9" fontId="50" fillId="5" borderId="33" xfId="3" applyFont="1" applyFill="1" applyBorder="1" applyAlignment="1">
      <alignment horizontal="center"/>
    </xf>
    <xf numFmtId="9" fontId="50" fillId="5" borderId="107" xfId="3" applyFont="1" applyFill="1" applyBorder="1" applyAlignment="1">
      <alignment horizontal="center"/>
    </xf>
    <xf numFmtId="9" fontId="50" fillId="0" borderId="74" xfId="3" applyFont="1" applyFill="1" applyBorder="1" applyAlignment="1" applyProtection="1">
      <alignment horizontal="center"/>
      <protection locked="0"/>
    </xf>
    <xf numFmtId="9" fontId="50" fillId="0" borderId="50" xfId="3" applyFont="1" applyFill="1" applyBorder="1" applyAlignment="1" applyProtection="1">
      <alignment horizontal="center"/>
      <protection locked="0"/>
    </xf>
    <xf numFmtId="0" fontId="59" fillId="0" borderId="112" xfId="0" applyFont="1" applyFill="1" applyBorder="1" applyAlignment="1" applyProtection="1">
      <alignment vertical="center" wrapText="1"/>
      <protection hidden="1"/>
    </xf>
    <xf numFmtId="0" fontId="59" fillId="0" borderId="112" xfId="0" applyFont="1" applyFill="1" applyBorder="1" applyAlignment="1" applyProtection="1">
      <alignment horizontal="left" vertical="center" wrapText="1"/>
      <protection hidden="1"/>
    </xf>
    <xf numFmtId="0" fontId="59" fillId="0" borderId="113" xfId="0" applyFont="1" applyFill="1" applyBorder="1" applyAlignment="1" applyProtection="1">
      <alignment horizontal="left" vertical="center" wrapText="1"/>
      <protection hidden="1"/>
    </xf>
    <xf numFmtId="9" fontId="50" fillId="0" borderId="74" xfId="3" applyFont="1" applyFill="1" applyBorder="1" applyAlignment="1" applyProtection="1">
      <alignment horizontal="center" vertical="center"/>
      <protection locked="0"/>
    </xf>
    <xf numFmtId="9" fontId="50" fillId="0" borderId="107" xfId="3" applyFont="1" applyFill="1" applyBorder="1" applyAlignment="1" applyProtection="1">
      <alignment horizontal="center" vertical="center"/>
      <protection locked="0"/>
    </xf>
    <xf numFmtId="9" fontId="50" fillId="0" borderId="40" xfId="3" applyFont="1" applyFill="1" applyBorder="1" applyAlignment="1" applyProtection="1">
      <alignment horizontal="center" vertical="center"/>
      <protection locked="0"/>
    </xf>
    <xf numFmtId="9" fontId="50" fillId="0" borderId="17" xfId="3" applyFont="1" applyFill="1" applyBorder="1" applyAlignment="1" applyProtection="1">
      <alignment horizontal="center" vertical="center"/>
      <protection locked="0"/>
    </xf>
    <xf numFmtId="0" fontId="67" fillId="5" borderId="84" xfId="0" applyFont="1" applyFill="1" applyBorder="1" applyAlignment="1">
      <alignment horizontal="center" vertical="center" wrapText="1"/>
    </xf>
    <xf numFmtId="0" fontId="67" fillId="5" borderId="72" xfId="0" applyFont="1" applyFill="1" applyBorder="1" applyAlignment="1">
      <alignment horizontal="center" vertical="center" wrapText="1"/>
    </xf>
    <xf numFmtId="0" fontId="67" fillId="5" borderId="87" xfId="0" applyFont="1" applyFill="1" applyBorder="1" applyAlignment="1">
      <alignment horizontal="center" vertical="center" wrapText="1"/>
    </xf>
    <xf numFmtId="0" fontId="67" fillId="5" borderId="104" xfId="0" applyFont="1" applyFill="1" applyBorder="1" applyAlignment="1">
      <alignment horizontal="center" vertical="center" wrapText="1"/>
    </xf>
    <xf numFmtId="0" fontId="67" fillId="5" borderId="129" xfId="0" applyFont="1" applyFill="1" applyBorder="1" applyAlignment="1">
      <alignment horizontal="center" vertical="center" wrapText="1"/>
    </xf>
    <xf numFmtId="0" fontId="67" fillId="5" borderId="130" xfId="0" applyFont="1" applyFill="1" applyBorder="1" applyAlignment="1">
      <alignment horizontal="center" vertical="center" wrapText="1"/>
    </xf>
    <xf numFmtId="0" fontId="67" fillId="5" borderId="126" xfId="0" applyFont="1" applyFill="1" applyBorder="1" applyAlignment="1">
      <alignment horizontal="center" vertical="center" wrapText="1"/>
    </xf>
    <xf numFmtId="0" fontId="67" fillId="5" borderId="128" xfId="0" applyFont="1" applyFill="1" applyBorder="1" applyAlignment="1">
      <alignment horizontal="center" vertical="center" wrapText="1"/>
    </xf>
    <xf numFmtId="0" fontId="67" fillId="5" borderId="39" xfId="0" applyFont="1" applyFill="1" applyBorder="1" applyAlignment="1">
      <alignment horizontal="center" vertical="center" wrapText="1"/>
    </xf>
    <xf numFmtId="0" fontId="67" fillId="5" borderId="19" xfId="0" applyFont="1" applyFill="1" applyBorder="1" applyAlignment="1">
      <alignment horizontal="center" vertical="center" wrapText="1"/>
    </xf>
    <xf numFmtId="0" fontId="67" fillId="5" borderId="127" xfId="0" applyFont="1" applyFill="1" applyBorder="1" applyAlignment="1">
      <alignment horizontal="center" vertical="center" wrapText="1"/>
    </xf>
    <xf numFmtId="0" fontId="67" fillId="5" borderId="89" xfId="0" applyFont="1" applyFill="1" applyBorder="1" applyAlignment="1">
      <alignment horizontal="center" vertical="center" wrapText="1"/>
    </xf>
    <xf numFmtId="0" fontId="70" fillId="0" borderId="0" xfId="0" applyFont="1"/>
    <xf numFmtId="0" fontId="67" fillId="0" borderId="0" xfId="0" applyFont="1"/>
    <xf numFmtId="3" fontId="43" fillId="5" borderId="8" xfId="0" applyNumberFormat="1" applyFont="1" applyFill="1" applyBorder="1" applyAlignment="1"/>
    <xf numFmtId="3" fontId="43" fillId="5" borderId="25" xfId="0" applyNumberFormat="1" applyFont="1" applyFill="1" applyBorder="1" applyAlignment="1"/>
    <xf numFmtId="3" fontId="50" fillId="5" borderId="55" xfId="0" applyNumberFormat="1" applyFont="1" applyFill="1" applyBorder="1" applyAlignment="1"/>
    <xf numFmtId="3" fontId="50" fillId="5" borderId="44" xfId="0" applyNumberFormat="1" applyFont="1" applyFill="1" applyBorder="1" applyAlignment="1"/>
    <xf numFmtId="0" fontId="59" fillId="0" borderId="117" xfId="0" applyFont="1" applyFill="1" applyBorder="1" applyAlignment="1" applyProtection="1">
      <alignment horizontal="left" vertical="center" wrapText="1"/>
      <protection hidden="1"/>
    </xf>
    <xf numFmtId="0" fontId="59" fillId="0" borderId="133" xfId="0" applyFont="1" applyFill="1" applyBorder="1" applyAlignment="1" applyProtection="1">
      <alignment horizontal="left" vertical="center" wrapText="1"/>
      <protection hidden="1"/>
    </xf>
    <xf numFmtId="0" fontId="59" fillId="0" borderId="118" xfId="0" applyFont="1" applyFill="1" applyBorder="1" applyAlignment="1" applyProtection="1">
      <alignment horizontal="left" vertical="center" wrapText="1"/>
      <protection hidden="1"/>
    </xf>
    <xf numFmtId="0" fontId="67" fillId="5" borderId="134" xfId="0" applyFont="1" applyFill="1" applyBorder="1" applyAlignment="1">
      <alignment horizontal="center"/>
    </xf>
    <xf numFmtId="0" fontId="67" fillId="5" borderId="101" xfId="0" applyFont="1" applyFill="1" applyBorder="1" applyAlignment="1">
      <alignment horizontal="center"/>
    </xf>
    <xf numFmtId="3" fontId="50" fillId="5" borderId="122" xfId="0" applyNumberFormat="1" applyFont="1" applyFill="1" applyBorder="1" applyAlignment="1"/>
    <xf numFmtId="3" fontId="50" fillId="5" borderId="124" xfId="0" applyNumberFormat="1" applyFont="1" applyFill="1" applyBorder="1" applyAlignment="1"/>
    <xf numFmtId="3" fontId="50" fillId="5" borderId="55" xfId="0" applyNumberFormat="1" applyFont="1" applyFill="1" applyBorder="1" applyAlignment="1" applyProtection="1">
      <protection locked="0"/>
    </xf>
    <xf numFmtId="3" fontId="50" fillId="5" borderId="44" xfId="0" applyNumberFormat="1" applyFont="1" applyFill="1" applyBorder="1" applyAlignment="1" applyProtection="1">
      <protection locked="0"/>
    </xf>
    <xf numFmtId="3" fontId="50" fillId="5" borderId="53" xfId="0" applyNumberFormat="1" applyFont="1" applyFill="1" applyBorder="1" applyAlignment="1"/>
    <xf numFmtId="3" fontId="50" fillId="5" borderId="46" xfId="0" applyNumberFormat="1" applyFont="1" applyFill="1" applyBorder="1" applyAlignment="1"/>
    <xf numFmtId="0" fontId="49" fillId="0" borderId="0" xfId="0" applyFont="1" applyFill="1" applyBorder="1" applyAlignment="1">
      <alignment horizontal="right" vertical="center" wrapText="1"/>
    </xf>
    <xf numFmtId="0" fontId="50" fillId="0" borderId="8" xfId="0" applyFont="1" applyBorder="1" applyAlignment="1" applyProtection="1">
      <alignment vertical="center"/>
      <protection locked="0"/>
    </xf>
    <xf numFmtId="0" fontId="50" fillId="0" borderId="25" xfId="0" applyFont="1" applyBorder="1" applyAlignment="1" applyProtection="1">
      <alignment vertical="center"/>
      <protection locked="0"/>
    </xf>
    <xf numFmtId="0" fontId="50" fillId="0" borderId="27" xfId="0" applyFont="1" applyBorder="1" applyAlignment="1" applyProtection="1">
      <alignment vertical="center"/>
      <protection locked="0"/>
    </xf>
    <xf numFmtId="0" fontId="49" fillId="0" borderId="86" xfId="0" applyFont="1" applyFill="1" applyBorder="1" applyAlignment="1">
      <alignment horizontal="right" vertical="center" wrapText="1"/>
    </xf>
    <xf numFmtId="0" fontId="62" fillId="0" borderId="0" xfId="0" quotePrefix="1" applyFont="1" applyAlignment="1">
      <alignment wrapText="1"/>
    </xf>
    <xf numFmtId="0" fontId="49" fillId="5" borderId="52" xfId="0" applyFont="1" applyFill="1" applyBorder="1" applyAlignment="1">
      <alignment horizontal="center" vertical="center" wrapText="1"/>
    </xf>
    <xf numFmtId="0" fontId="49" fillId="5" borderId="75" xfId="0" applyFont="1" applyFill="1" applyBorder="1" applyAlignment="1">
      <alignment horizontal="center" vertical="center" wrapText="1"/>
    </xf>
    <xf numFmtId="0" fontId="49" fillId="5" borderId="76" xfId="0" applyFont="1" applyFill="1" applyBorder="1" applyAlignment="1">
      <alignment horizontal="center" vertical="center" wrapText="1"/>
    </xf>
    <xf numFmtId="0" fontId="49" fillId="5" borderId="20" xfId="0" applyFont="1" applyFill="1" applyBorder="1" applyAlignment="1">
      <alignment horizontal="center" vertical="center" wrapText="1"/>
    </xf>
    <xf numFmtId="0" fontId="49" fillId="5" borderId="78" xfId="0" applyFont="1" applyFill="1" applyBorder="1" applyAlignment="1">
      <alignment horizontal="center" vertical="center" wrapText="1"/>
    </xf>
    <xf numFmtId="0" fontId="49" fillId="5" borderId="136" xfId="0" applyFont="1" applyFill="1" applyBorder="1" applyAlignment="1">
      <alignment horizontal="center" vertical="center" wrapText="1"/>
    </xf>
    <xf numFmtId="0" fontId="49" fillId="5" borderId="141" xfId="0" applyFont="1" applyFill="1" applyBorder="1" applyAlignment="1">
      <alignment horizontal="center" vertical="center" wrapText="1"/>
    </xf>
    <xf numFmtId="0" fontId="49" fillId="5" borderId="15" xfId="0" applyFont="1" applyFill="1" applyBorder="1" applyAlignment="1">
      <alignment horizontal="center" vertical="center" wrapText="1"/>
    </xf>
    <xf numFmtId="0" fontId="69" fillId="5" borderId="8" xfId="0" applyFont="1" applyFill="1" applyBorder="1" applyAlignment="1">
      <alignment horizontal="center" vertical="center"/>
    </xf>
    <xf numFmtId="0" fontId="69" fillId="5" borderId="25" xfId="0" applyFont="1" applyFill="1" applyBorder="1" applyAlignment="1">
      <alignment horizontal="center" vertical="center"/>
    </xf>
    <xf numFmtId="0" fontId="69" fillId="5" borderId="27" xfId="0" applyFont="1" applyFill="1" applyBorder="1" applyAlignment="1">
      <alignment horizontal="center" vertical="center"/>
    </xf>
    <xf numFmtId="0" fontId="49" fillId="5" borderId="135" xfId="0" applyFont="1" applyFill="1" applyBorder="1" applyAlignment="1">
      <alignment horizontal="center" vertical="center" wrapText="1"/>
    </xf>
    <xf numFmtId="0" fontId="49" fillId="5" borderId="96" xfId="0" applyFont="1" applyFill="1" applyBorder="1" applyAlignment="1">
      <alignment horizontal="center" vertical="center" wrapText="1"/>
    </xf>
    <xf numFmtId="0" fontId="49" fillId="5" borderId="139" xfId="0" applyFont="1" applyFill="1" applyBorder="1" applyAlignment="1">
      <alignment horizontal="center" vertical="center" wrapText="1"/>
    </xf>
    <xf numFmtId="0" fontId="49" fillId="5" borderId="140" xfId="0" applyFont="1" applyFill="1" applyBorder="1" applyAlignment="1">
      <alignment horizontal="center" vertical="center" wrapText="1"/>
    </xf>
    <xf numFmtId="0" fontId="49" fillId="5" borderId="137" xfId="0" applyFont="1" applyFill="1" applyBorder="1" applyAlignment="1">
      <alignment horizontal="center" vertical="center" wrapText="1"/>
    </xf>
    <xf numFmtId="0" fontId="49" fillId="5" borderId="138" xfId="0" applyFont="1" applyFill="1" applyBorder="1" applyAlignment="1">
      <alignment horizontal="center" vertical="center" wrapText="1"/>
    </xf>
    <xf numFmtId="0" fontId="49" fillId="5" borderId="23" xfId="0" applyFont="1" applyFill="1" applyBorder="1" applyAlignment="1">
      <alignment horizontal="center" vertical="center" wrapText="1"/>
    </xf>
    <xf numFmtId="0" fontId="49" fillId="5" borderId="38" xfId="0" applyFont="1" applyFill="1" applyBorder="1" applyAlignment="1">
      <alignment horizontal="center" vertical="center" wrapText="1"/>
    </xf>
    <xf numFmtId="0" fontId="19" fillId="3" borderId="69" xfId="0" applyFont="1" applyFill="1" applyBorder="1" applyAlignment="1" applyProtection="1">
      <alignment vertical="center" wrapText="1"/>
    </xf>
    <xf numFmtId="0" fontId="19" fillId="3" borderId="70" xfId="0" applyFont="1" applyFill="1" applyBorder="1" applyAlignment="1" applyProtection="1">
      <alignment vertical="center" wrapText="1"/>
    </xf>
    <xf numFmtId="0" fontId="19" fillId="3" borderId="59" xfId="0" applyFont="1" applyFill="1" applyBorder="1" applyAlignment="1" applyProtection="1">
      <alignment vertical="center" wrapText="1"/>
    </xf>
    <xf numFmtId="0" fontId="19" fillId="3" borderId="68" xfId="0" applyFont="1" applyFill="1" applyBorder="1" applyAlignment="1" applyProtection="1">
      <alignment vertical="center" wrapText="1"/>
    </xf>
    <xf numFmtId="0" fontId="19" fillId="3" borderId="67" xfId="0" applyFont="1" applyFill="1" applyBorder="1" applyAlignment="1" applyProtection="1">
      <alignment vertical="center" wrapText="1"/>
    </xf>
    <xf numFmtId="0" fontId="19" fillId="3" borderId="61" xfId="0" applyFont="1" applyFill="1" applyBorder="1" applyAlignment="1" applyProtection="1">
      <alignment vertical="center" wrapText="1"/>
    </xf>
    <xf numFmtId="0" fontId="12" fillId="7" borderId="62" xfId="0" applyFont="1" applyFill="1" applyBorder="1" applyAlignment="1" applyProtection="1">
      <alignment horizontal="center" vertical="center" wrapText="1"/>
    </xf>
    <xf numFmtId="0" fontId="12" fillId="7" borderId="64" xfId="0" applyFont="1" applyFill="1" applyBorder="1" applyAlignment="1" applyProtection="1">
      <alignment horizontal="center" vertical="center" wrapText="1"/>
    </xf>
    <xf numFmtId="0" fontId="19" fillId="7" borderId="62" xfId="0" applyFont="1" applyFill="1" applyBorder="1" applyAlignment="1" applyProtection="1">
      <alignment horizontal="center" vertical="center" wrapText="1"/>
    </xf>
    <xf numFmtId="0" fontId="19" fillId="7" borderId="63" xfId="0" applyFont="1" applyFill="1" applyBorder="1" applyAlignment="1" applyProtection="1">
      <alignment horizontal="center" vertical="center" wrapText="1"/>
    </xf>
    <xf numFmtId="0" fontId="19" fillId="3" borderId="65" xfId="0" applyFont="1" applyFill="1" applyBorder="1" applyAlignment="1" applyProtection="1">
      <alignment vertical="center" wrapText="1"/>
    </xf>
    <xf numFmtId="0" fontId="19" fillId="3" borderId="66" xfId="0" applyFont="1" applyFill="1" applyBorder="1" applyAlignment="1" applyProtection="1">
      <alignment vertical="center" wrapText="1"/>
    </xf>
    <xf numFmtId="0" fontId="19" fillId="3" borderId="57" xfId="0" applyFont="1" applyFill="1" applyBorder="1" applyAlignment="1" applyProtection="1">
      <alignment vertical="center" wrapText="1"/>
    </xf>
    <xf numFmtId="0" fontId="49" fillId="5" borderId="4" xfId="0" applyFont="1" applyFill="1" applyBorder="1" applyAlignment="1">
      <alignment horizontal="center"/>
    </xf>
    <xf numFmtId="0" fontId="75" fillId="5" borderId="8" xfId="0" applyFont="1" applyFill="1" applyBorder="1" applyAlignment="1">
      <alignment horizontal="right" vertical="center"/>
    </xf>
    <xf numFmtId="0" fontId="75" fillId="5" borderId="19" xfId="0" applyFont="1" applyFill="1" applyBorder="1" applyAlignment="1">
      <alignment horizontal="right" vertical="center"/>
    </xf>
    <xf numFmtId="0" fontId="75" fillId="5" borderId="48" xfId="0" applyFont="1" applyFill="1" applyBorder="1" applyAlignment="1">
      <alignment horizontal="right" vertical="center"/>
    </xf>
    <xf numFmtId="0" fontId="75" fillId="5" borderId="49" xfId="0" applyFont="1" applyFill="1" applyBorder="1" applyAlignment="1">
      <alignment horizontal="right" vertical="center"/>
    </xf>
    <xf numFmtId="0" fontId="75" fillId="5" borderId="74" xfId="0" applyFont="1" applyFill="1" applyBorder="1" applyAlignment="1">
      <alignment horizontal="right" vertical="center"/>
    </xf>
    <xf numFmtId="164" fontId="81" fillId="5" borderId="8" xfId="1" applyNumberFormat="1" applyFont="1" applyFill="1" applyBorder="1" applyAlignment="1">
      <alignment horizontal="center" vertical="center"/>
    </xf>
    <xf numFmtId="164" fontId="81" fillId="5" borderId="27" xfId="1" applyNumberFormat="1" applyFont="1" applyFill="1" applyBorder="1" applyAlignment="1">
      <alignment horizontal="center" vertical="center"/>
    </xf>
    <xf numFmtId="0" fontId="49" fillId="5" borderId="37" xfId="0" applyFont="1" applyFill="1" applyBorder="1" applyAlignment="1">
      <alignment horizontal="center"/>
    </xf>
    <xf numFmtId="0" fontId="49" fillId="5" borderId="22" xfId="0" applyFont="1" applyFill="1" applyBorder="1" applyAlignment="1">
      <alignment horizontal="center"/>
    </xf>
    <xf numFmtId="0" fontId="57" fillId="5" borderId="8" xfId="0" applyFont="1" applyFill="1" applyBorder="1" applyAlignment="1">
      <alignment horizontal="center"/>
    </xf>
    <xf numFmtId="0" fontId="57" fillId="5" borderId="25" xfId="0" applyFont="1" applyFill="1" applyBorder="1" applyAlignment="1">
      <alignment horizontal="center"/>
    </xf>
    <xf numFmtId="0" fontId="57" fillId="5" borderId="27" xfId="0" applyFont="1" applyFill="1" applyBorder="1" applyAlignment="1">
      <alignment horizontal="center"/>
    </xf>
    <xf numFmtId="0" fontId="62" fillId="0" borderId="0" xfId="0" applyFont="1" applyFill="1" applyBorder="1" applyAlignment="1">
      <alignment horizontal="left" wrapText="1"/>
    </xf>
    <xf numFmtId="0" fontId="57" fillId="0" borderId="0" xfId="0" applyFont="1" applyFill="1" applyBorder="1" applyAlignment="1">
      <alignment wrapText="1"/>
    </xf>
    <xf numFmtId="0" fontId="24" fillId="0" borderId="0" xfId="0" applyFont="1" applyFill="1" applyBorder="1" applyAlignment="1">
      <alignment wrapText="1"/>
    </xf>
  </cellXfs>
  <cellStyles count="8">
    <cellStyle name="Comma" xfId="4" builtinId="3"/>
    <cellStyle name="Currency" xfId="1" builtinId="4"/>
    <cellStyle name="Currency 2" xfId="2"/>
    <cellStyle name="Hyperlink" xfId="5" builtinId="8"/>
    <cellStyle name="Normal" xfId="0" builtinId="0"/>
    <cellStyle name="Normal 2" xfId="6"/>
    <cellStyle name="Normal 2 2" xfId="7"/>
    <cellStyle name="Percent" xfId="3" builtinId="5"/>
  </cellStyles>
  <dxfs count="5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strike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strike val="0"/>
        <color auto="1"/>
      </font>
      <fill>
        <patternFill>
          <bgColor rgb="FFFFFF99"/>
        </patternFill>
      </fill>
    </dxf>
    <dxf>
      <fill>
        <patternFill>
          <bgColor rgb="FFFFFF66"/>
        </patternFill>
      </fill>
    </dxf>
    <dxf>
      <fill>
        <patternFill>
          <bgColor rgb="FFFFFF66"/>
        </patternFill>
      </fill>
    </dxf>
    <dxf>
      <fill>
        <patternFill>
          <bgColor rgb="FFFFFF66"/>
        </patternFill>
      </fill>
    </dxf>
    <dxf>
      <fill>
        <patternFill>
          <bgColor rgb="FFFFFF66"/>
        </patternFill>
      </fill>
    </dxf>
    <dxf>
      <font>
        <b/>
        <i val="0"/>
        <color rgb="FF00B050"/>
      </font>
    </dxf>
    <dxf>
      <fill>
        <patternFill>
          <bgColor rgb="FFFFFF99"/>
        </patternFill>
      </fill>
    </dxf>
    <dxf>
      <fill>
        <patternFill>
          <bgColor rgb="FFFFFF99"/>
        </patternFill>
      </fill>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top/>
        <bottom/>
        <vertical/>
        <horizontal/>
      </border>
    </dxf>
    <dxf>
      <fill>
        <patternFill>
          <bgColor rgb="FFFFFF99"/>
        </patternFill>
      </fill>
    </dxf>
    <dxf>
      <fill>
        <patternFill>
          <bgColor rgb="FFFFFF99"/>
        </patternFill>
      </fill>
    </dxf>
    <dxf>
      <font>
        <b/>
        <i val="0"/>
        <color rgb="FF00B050"/>
      </font>
    </dxf>
  </dxfs>
  <tableStyles count="0" defaultTableStyle="TableStyleMedium9" defaultPivotStyle="PivotStyleLight16"/>
  <colors>
    <mruColors>
      <color rgb="FFFFFF99"/>
      <color rgb="FFFFFF66"/>
      <color rgb="FFFFFFCC"/>
      <color rgb="FFEAFFD5"/>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s>
</file>

<file path=xl/ctrlProps/ctrlProp1.xml><?xml version="1.0" encoding="utf-8"?>
<formControlPr xmlns="http://schemas.microsoft.com/office/spreadsheetml/2009/9/main" objectType="CheckBox" fmlaLink="'DB-Solar'!$G$2" lockText="1" noThreeD="1"/>
</file>

<file path=xl/ctrlProps/ctrlProp2.xml><?xml version="1.0" encoding="utf-8"?>
<formControlPr xmlns="http://schemas.microsoft.com/office/spreadsheetml/2009/9/main" objectType="CheckBox" fmlaLink="'DB-Solar'!$K$2" lockText="1" noThreeD="1"/>
</file>

<file path=xl/ctrlProps/ctrlProp3.xml><?xml version="1.0" encoding="utf-8"?>
<formControlPr xmlns="http://schemas.microsoft.com/office/spreadsheetml/2009/9/main" objectType="CheckBox" fmlaLink="'DB-Solar'!$H$2" lockText="1" noThreeD="1"/>
</file>

<file path=xl/ctrlProps/ctrlProp4.xml><?xml version="1.0" encoding="utf-8"?>
<formControlPr xmlns="http://schemas.microsoft.com/office/spreadsheetml/2009/9/main" objectType="CheckBox" fmlaLink="'DB-Solar'!$J$2" lockText="1" noThreeD="1"/>
</file>

<file path=xl/ctrlProps/ctrlProp5.xml><?xml version="1.0" encoding="utf-8"?>
<formControlPr xmlns="http://schemas.microsoft.com/office/spreadsheetml/2009/9/main" objectType="CheckBox" fmlaLink="'DB-Solar'!$I$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0</xdr:row>
      <xdr:rowOff>45720</xdr:rowOff>
    </xdr:from>
    <xdr:to>
      <xdr:col>3</xdr:col>
      <xdr:colOff>1077714</xdr:colOff>
      <xdr:row>1</xdr:row>
      <xdr:rowOff>136295</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45720"/>
          <a:ext cx="1394579" cy="278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7</xdr:row>
          <xdr:rowOff>38100</xdr:rowOff>
        </xdr:from>
        <xdr:to>
          <xdr:col>6</xdr:col>
          <xdr:colOff>571500</xdr:colOff>
          <xdr:row>7</xdr:row>
          <xdr:rowOff>285750</xdr:rowOff>
        </xdr:to>
        <xdr:sp macro="" textlink="">
          <xdr:nvSpPr>
            <xdr:cNvPr id="38916" name="Check Box 4" hidden="1">
              <a:extLst>
                <a:ext uri="{63B3BB69-23CF-44E3-9099-C40C66FF867C}">
                  <a14:compatExt spid="_x0000_s389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Amenities on rooftop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895350</xdr:colOff>
          <xdr:row>7</xdr:row>
          <xdr:rowOff>38100</xdr:rowOff>
        </xdr:from>
        <xdr:to>
          <xdr:col>9</xdr:col>
          <xdr:colOff>876300</xdr:colOff>
          <xdr:row>7</xdr:row>
          <xdr:rowOff>285750</xdr:rowOff>
        </xdr:to>
        <xdr:sp macro="" textlink="">
          <xdr:nvSpPr>
            <xdr:cNvPr id="38917" name="Check Box 5" hidden="1">
              <a:extLst>
                <a:ext uri="{63B3BB69-23CF-44E3-9099-C40C66FF867C}">
                  <a14:compatExt spid="_x0000_s389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Zoning or permitting restrictions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7</xdr:row>
          <xdr:rowOff>266700</xdr:rowOff>
        </xdr:from>
        <xdr:to>
          <xdr:col>6</xdr:col>
          <xdr:colOff>571500</xdr:colOff>
          <xdr:row>8</xdr:row>
          <xdr:rowOff>28575</xdr:rowOff>
        </xdr:to>
        <xdr:sp macro="" textlink="">
          <xdr:nvSpPr>
            <xdr:cNvPr id="38918" name="Check Box 6" hidden="1">
              <a:extLst>
                <a:ext uri="{63B3BB69-23CF-44E3-9099-C40C66FF867C}">
                  <a14:compatExt spid="_x0000_s389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Mechanicals on rooftop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7</xdr:row>
          <xdr:rowOff>257175</xdr:rowOff>
        </xdr:from>
        <xdr:to>
          <xdr:col>7</xdr:col>
          <xdr:colOff>857250</xdr:colOff>
          <xdr:row>8</xdr:row>
          <xdr:rowOff>19050</xdr:rowOff>
        </xdr:to>
        <xdr:sp macro="" textlink="">
          <xdr:nvSpPr>
            <xdr:cNvPr id="38919" name="Check Box 7" hidden="1">
              <a:extLst>
                <a:ext uri="{63B3BB69-23CF-44E3-9099-C40C66FF867C}">
                  <a14:compatExt spid="_x0000_s389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Age of roof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7</xdr:row>
          <xdr:rowOff>38100</xdr:rowOff>
        </xdr:from>
        <xdr:to>
          <xdr:col>7</xdr:col>
          <xdr:colOff>819150</xdr:colOff>
          <xdr:row>7</xdr:row>
          <xdr:rowOff>285750</xdr:rowOff>
        </xdr:to>
        <xdr:sp macro="" textlink="">
          <xdr:nvSpPr>
            <xdr:cNvPr id="38921" name="Check Box 9" hidden="1">
              <a:extLst>
                <a:ext uri="{63B3BB69-23CF-44E3-9099-C40C66FF867C}">
                  <a14:compatExt spid="_x0000_s389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Shading</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h\Downloads\ESC_Energy_Event_Inp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suh\Downloads\v4_Indoor%20Water%20Use%20Reduction%20Calculator_v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Improvements"/>
      <sheetName val="Measure-List"/>
      <sheetName val="Input-Property"/>
      <sheetName val="Dropdowns"/>
      <sheetName val="Sheet1"/>
    </sheetNames>
    <sheetDataSet>
      <sheetData sheetId="0"/>
      <sheetData sheetId="1">
        <row r="1">
          <cell r="B1" t="str">
            <v>Category</v>
          </cell>
          <cell r="C1" t="str">
            <v>Improvement</v>
          </cell>
          <cell r="F1" t="str">
            <v>Category</v>
          </cell>
        </row>
        <row r="2">
          <cell r="C2" t="str">
            <v>HEATING</v>
          </cell>
          <cell r="F2" t="str">
            <v>Heating</v>
          </cell>
          <cell r="I2" t="str">
            <v>Select One</v>
          </cell>
          <cell r="J2" t="str">
            <v>Select One</v>
          </cell>
          <cell r="K2" t="str">
            <v>Select One</v>
          </cell>
          <cell r="L2" t="str">
            <v>Select One</v>
          </cell>
          <cell r="M2" t="str">
            <v>Select One</v>
          </cell>
        </row>
        <row r="3">
          <cell r="B3" t="str">
            <v>Heating</v>
          </cell>
          <cell r="C3" t="str">
            <v xml:space="preserve">   AHU (Air Handling Unit)- Install/Upgrade </v>
          </cell>
          <cell r="F3" t="str">
            <v>Cooling</v>
          </cell>
          <cell r="I3" t="str">
            <v>Therms</v>
          </cell>
          <cell r="J3" t="str">
            <v>Gallons</v>
          </cell>
          <cell r="K3" t="str">
            <v>Lbs (Pound)</v>
          </cell>
          <cell r="L3" t="str">
            <v>Oil #2 Gallons</v>
          </cell>
          <cell r="M3" t="str">
            <v>Gallons</v>
          </cell>
        </row>
        <row r="4">
          <cell r="B4" t="str">
            <v>Heating</v>
          </cell>
          <cell r="C4" t="str">
            <v xml:space="preserve">   AHU (Air Handling Unit)- Repair/Clean </v>
          </cell>
          <cell r="F4" t="str">
            <v>Domestic Hot Water</v>
          </cell>
          <cell r="I4" t="str">
            <v>Cubic Feet</v>
          </cell>
          <cell r="J4" t="str">
            <v>Cubic Feet</v>
          </cell>
          <cell r="K4" t="str">
            <v>Mlbs or Klbs (1000 pounds)</v>
          </cell>
          <cell r="L4" t="str">
            <v>Oil #4 Gallons</v>
          </cell>
          <cell r="M4" t="str">
            <v>100 Gallons</v>
          </cell>
        </row>
        <row r="5">
          <cell r="B5" t="str">
            <v>Heating</v>
          </cell>
          <cell r="C5" t="str">
            <v xml:space="preserve">   Air Filters- Clean/Replace </v>
          </cell>
          <cell r="F5" t="str">
            <v>Water</v>
          </cell>
          <cell r="I5" t="str">
            <v>CCF (100 CF)</v>
          </cell>
          <cell r="J5" t="str">
            <v>CCF (100 CF)</v>
          </cell>
          <cell r="K5" t="str">
            <v>Therms</v>
          </cell>
          <cell r="L5" t="str">
            <v>Oil #6 Gallons</v>
          </cell>
          <cell r="M5" t="str">
            <v>1000 Gallons</v>
          </cell>
        </row>
        <row r="6">
          <cell r="B6" t="str">
            <v>Heating</v>
          </cell>
          <cell r="C6" t="str">
            <v xml:space="preserve">   Air Vent/Steam Vent- Install/Upgrade/Repair </v>
          </cell>
          <cell r="F6" t="str">
            <v>Ventilation</v>
          </cell>
          <cell r="I6" t="str">
            <v>KCF or MCF (1000 CF)</v>
          </cell>
          <cell r="J6" t="str">
            <v>KCF or MCF (1000 CF)</v>
          </cell>
          <cell r="K6" t="str">
            <v>mmBTU (Million BTU)</v>
          </cell>
          <cell r="L6" t="str">
            <v>kBTU (1000 BTU)</v>
          </cell>
          <cell r="M6" t="str">
            <v>M Gallons</v>
          </cell>
        </row>
        <row r="7">
          <cell r="B7" t="str">
            <v>Heating</v>
          </cell>
          <cell r="C7" t="str">
            <v xml:space="preserve">   Barometric Damper- Install/Upgrade/Repair </v>
          </cell>
          <cell r="F7" t="str">
            <v>Building Enclosure</v>
          </cell>
          <cell r="I7" t="str">
            <v>kBTU (1000 BTU)</v>
          </cell>
          <cell r="L7" t="str">
            <v>mmBTU (Million BTU)</v>
          </cell>
          <cell r="M7" t="str">
            <v>Cubic Feet</v>
          </cell>
        </row>
        <row r="8">
          <cell r="B8" t="str">
            <v>Heating</v>
          </cell>
          <cell r="C8" t="str">
            <v xml:space="preserve">   BMS/EMS- Install </v>
          </cell>
          <cell r="F8" t="str">
            <v>Lighting</v>
          </cell>
          <cell r="I8" t="str">
            <v>mmBTU (Million BTU)</v>
          </cell>
          <cell r="M8" t="str">
            <v>CCF (100 CF)</v>
          </cell>
        </row>
        <row r="9">
          <cell r="B9" t="str">
            <v>Heating</v>
          </cell>
          <cell r="C9" t="str">
            <v xml:space="preserve">   Boiler Controls- Clean/Tune/Calibrate </v>
          </cell>
          <cell r="F9" t="str">
            <v>Appliances</v>
          </cell>
          <cell r="M9" t="str">
            <v>KCF or MCF (1000 CF)</v>
          </cell>
        </row>
        <row r="10">
          <cell r="B10" t="str">
            <v>Heating</v>
          </cell>
          <cell r="C10" t="str">
            <v xml:space="preserve">   Boiler Controls- Upgrade </v>
          </cell>
          <cell r="F10" t="str">
            <v>Pumps/Motors</v>
          </cell>
        </row>
        <row r="11">
          <cell r="B11" t="str">
            <v>Heating</v>
          </cell>
          <cell r="C11" t="str">
            <v xml:space="preserve">   Boiler/Furnace-Convert Fuel Type </v>
          </cell>
          <cell r="F11" t="str">
            <v>Renewable Energy</v>
          </cell>
        </row>
        <row r="12">
          <cell r="B12" t="str">
            <v>Heating</v>
          </cell>
          <cell r="C12" t="str">
            <v xml:space="preserve">   Boiler/Furnace- Install/Upgrade </v>
          </cell>
          <cell r="F12" t="str">
            <v>Operations and Maintenance</v>
          </cell>
        </row>
        <row r="13">
          <cell r="B13" t="str">
            <v>Heating</v>
          </cell>
          <cell r="C13" t="str">
            <v xml:space="preserve">   Boiler/Furnace- Insulate </v>
          </cell>
          <cell r="F13" t="str">
            <v>Non-Energy Saving</v>
          </cell>
        </row>
        <row r="14">
          <cell r="B14" t="str">
            <v>Heating</v>
          </cell>
          <cell r="C14" t="str">
            <v xml:space="preserve">   Boiler/Furnace- Repair/Clean/Tune/Calibrate </v>
          </cell>
          <cell r="F14" t="str">
            <v>Other</v>
          </cell>
        </row>
        <row r="15">
          <cell r="B15" t="str">
            <v>Heating</v>
          </cell>
          <cell r="C15" t="str">
            <v xml:space="preserve">   Burner- Install/Upgrade </v>
          </cell>
        </row>
        <row r="16">
          <cell r="B16" t="str">
            <v>Heating</v>
          </cell>
          <cell r="C16" t="str">
            <v xml:space="preserve">   Burner- Repair/Clean/Tune/Calibrate </v>
          </cell>
        </row>
        <row r="17">
          <cell r="B17" t="str">
            <v>Heating</v>
          </cell>
          <cell r="C17" t="str">
            <v xml:space="preserve">   Condensate Receiver- Install/Upgrade/Repair </v>
          </cell>
        </row>
        <row r="18">
          <cell r="B18" t="str">
            <v>Heating</v>
          </cell>
          <cell r="C18" t="str">
            <v xml:space="preserve">   Condensing Boiler/Furnace- Install/Upgrade </v>
          </cell>
        </row>
        <row r="19">
          <cell r="B19" t="str">
            <v>Heating</v>
          </cell>
          <cell r="C19" t="str">
            <v xml:space="preserve">   Controls- Install/Upgrade </v>
          </cell>
        </row>
        <row r="20">
          <cell r="B20" t="str">
            <v>Heating</v>
          </cell>
          <cell r="C20" t="str">
            <v xml:space="preserve">   Controls- Tune/Calibrate </v>
          </cell>
        </row>
        <row r="21">
          <cell r="B21" t="str">
            <v>Heating</v>
          </cell>
          <cell r="C21" t="str">
            <v xml:space="preserve">   Distribution System/Ducts- Balance </v>
          </cell>
        </row>
        <row r="22">
          <cell r="B22" t="str">
            <v>Heating</v>
          </cell>
          <cell r="C22" t="str">
            <v xml:space="preserve">   Distribution System/Ducts- Seal/Improve </v>
          </cell>
        </row>
        <row r="23">
          <cell r="B23" t="str">
            <v>Heating</v>
          </cell>
          <cell r="C23" t="str">
            <v xml:space="preserve">   Flue Damper- Install/Upgrade/Repair </v>
          </cell>
        </row>
        <row r="24">
          <cell r="B24" t="str">
            <v>Heating</v>
          </cell>
          <cell r="C24" t="str">
            <v xml:space="preserve">   Geothermal System (GSHP)- Install </v>
          </cell>
        </row>
        <row r="25">
          <cell r="B25" t="str">
            <v>Heating</v>
          </cell>
          <cell r="C25" t="str">
            <v xml:space="preserve">   Heat Pump- Install/Upgrade/Repair </v>
          </cell>
        </row>
        <row r="26">
          <cell r="B26" t="str">
            <v>Heating</v>
          </cell>
          <cell r="C26" t="str">
            <v xml:space="preserve">   Indoor Temperature Sensors- Install/Upgrade/Reset </v>
          </cell>
        </row>
        <row r="27">
          <cell r="B27" t="str">
            <v>Heating</v>
          </cell>
          <cell r="C27" t="str">
            <v xml:space="preserve">   Outdoor Temperature Sensors- Install/Upgrade/Reset </v>
          </cell>
        </row>
        <row r="28">
          <cell r="B28" t="str">
            <v>Heating</v>
          </cell>
          <cell r="C28" t="str">
            <v xml:space="preserve">   Pipes/Ducts- Insulate </v>
          </cell>
        </row>
        <row r="29">
          <cell r="B29" t="str">
            <v>Heating</v>
          </cell>
          <cell r="C29" t="str">
            <v xml:space="preserve">   Pipes- Repair/Fix Leaks </v>
          </cell>
        </row>
        <row r="30">
          <cell r="B30" t="str">
            <v>Heating</v>
          </cell>
          <cell r="C30" t="str">
            <v xml:space="preserve">   PTAC (no heat pump)- Install/Upgrade </v>
          </cell>
        </row>
        <row r="31">
          <cell r="B31" t="str">
            <v>Heating</v>
          </cell>
          <cell r="C31" t="str">
            <v xml:space="preserve">   PTAC (no heat pump)- Repair </v>
          </cell>
        </row>
        <row r="32">
          <cell r="B32" t="str">
            <v>Heating</v>
          </cell>
          <cell r="C32" t="str">
            <v xml:space="preserve">   Radiators- Decommision </v>
          </cell>
        </row>
        <row r="33">
          <cell r="B33" t="str">
            <v>Heating</v>
          </cell>
          <cell r="C33" t="str">
            <v xml:space="preserve">   Radiators- Install/Upgrade </v>
          </cell>
        </row>
        <row r="34">
          <cell r="B34" t="str">
            <v>Heating</v>
          </cell>
          <cell r="C34" t="str">
            <v xml:space="preserve">   Radiators- Repair/Clean/Correct Pitch </v>
          </cell>
        </row>
        <row r="35">
          <cell r="B35" t="str">
            <v>Heating</v>
          </cell>
          <cell r="C35" t="str">
            <v xml:space="preserve">   Steam Orifices- Install/Upgrade/Repair </v>
          </cell>
        </row>
        <row r="36">
          <cell r="B36" t="str">
            <v>Heating</v>
          </cell>
          <cell r="C36" t="str">
            <v xml:space="preserve">   Steam Traps- Install/Upgrade/Repair </v>
          </cell>
        </row>
        <row r="37">
          <cell r="B37" t="str">
            <v>Heating</v>
          </cell>
          <cell r="C37" t="str">
            <v xml:space="preserve">   Thermostat/Heating System Temperature Setting- Reduce/Adjust </v>
          </cell>
        </row>
        <row r="38">
          <cell r="B38" t="str">
            <v>Heating</v>
          </cell>
          <cell r="C38" t="str">
            <v xml:space="preserve">   Thermostat- Install/Upgrade </v>
          </cell>
        </row>
        <row r="39">
          <cell r="B39" t="str">
            <v>Heating</v>
          </cell>
          <cell r="C39" t="str">
            <v xml:space="preserve">   TRVs (Thermostatic Radiator Valves)- Install </v>
          </cell>
        </row>
        <row r="40">
          <cell r="B40" t="str">
            <v>Heating</v>
          </cell>
          <cell r="C40" t="str">
            <v xml:space="preserve">   Vacuum Pumps- Install/Upgrade/Repair </v>
          </cell>
        </row>
        <row r="41">
          <cell r="B41" t="str">
            <v>Heating</v>
          </cell>
          <cell r="C41" t="str">
            <v xml:space="preserve">   Zone Valves- Install/Upgrade </v>
          </cell>
        </row>
        <row r="42">
          <cell r="B42" t="str">
            <v>Heating</v>
          </cell>
          <cell r="C42" t="str">
            <v xml:space="preserve">   Zone Valves- Repair/Reset </v>
          </cell>
        </row>
        <row r="43">
          <cell r="B43" t="str">
            <v>Heating</v>
          </cell>
          <cell r="C43" t="str">
            <v xml:space="preserve">   Other Heating Improvement </v>
          </cell>
        </row>
        <row r="44">
          <cell r="C44" t="str">
            <v xml:space="preserve">COOLING </v>
          </cell>
        </row>
        <row r="45">
          <cell r="B45" t="str">
            <v>Cooling</v>
          </cell>
          <cell r="C45" t="str">
            <v xml:space="preserve">   AHU (Air Handling Unit)- Install/Upgrade/Repair</v>
          </cell>
        </row>
        <row r="46">
          <cell r="B46" t="str">
            <v>Cooling</v>
          </cell>
          <cell r="C46" t="str">
            <v xml:space="preserve">   AHU (Air Handling Unit)- Repair/Clean </v>
          </cell>
        </row>
        <row r="47">
          <cell r="B47" t="str">
            <v>Cooling</v>
          </cell>
          <cell r="C47" t="str">
            <v xml:space="preserve">   Air Filters- Clean/Replace </v>
          </cell>
        </row>
        <row r="48">
          <cell r="B48" t="str">
            <v>Cooling</v>
          </cell>
          <cell r="C48" t="str">
            <v xml:space="preserve">   BMS/EMS- Install </v>
          </cell>
        </row>
        <row r="49">
          <cell r="B49" t="str">
            <v>Cooling</v>
          </cell>
          <cell r="C49" t="str">
            <v xml:space="preserve">   Chiller- Install/Upgrade </v>
          </cell>
        </row>
        <row r="50">
          <cell r="B50" t="str">
            <v>Cooling</v>
          </cell>
          <cell r="C50" t="str">
            <v xml:space="preserve">   Chiller- Repair </v>
          </cell>
        </row>
        <row r="51">
          <cell r="B51" t="str">
            <v>Cooling</v>
          </cell>
          <cell r="C51" t="str">
            <v xml:space="preserve">   Controls- Install/Upgrade </v>
          </cell>
        </row>
        <row r="52">
          <cell r="B52" t="str">
            <v>Cooling</v>
          </cell>
          <cell r="C52" t="str">
            <v xml:space="preserve">   Controls- Tune/Calibrate </v>
          </cell>
        </row>
        <row r="53">
          <cell r="B53" t="str">
            <v>Cooling</v>
          </cell>
          <cell r="C53" t="str">
            <v xml:space="preserve">   Cooling Tower- Install/Upgrade </v>
          </cell>
        </row>
        <row r="54">
          <cell r="B54" t="str">
            <v>Cooling</v>
          </cell>
          <cell r="C54" t="str">
            <v xml:space="preserve">   Distribution System/Ducts- Balance </v>
          </cell>
        </row>
        <row r="55">
          <cell r="B55" t="str">
            <v>Cooling</v>
          </cell>
          <cell r="C55" t="str">
            <v xml:space="preserve">   Indoor Temperature Sensors- Install/Upgrade/Repair </v>
          </cell>
        </row>
        <row r="56">
          <cell r="B56" t="str">
            <v>Cooling</v>
          </cell>
          <cell r="C56" t="str">
            <v xml:space="preserve">   Outdoor Temperature Sensors- Install/Upgrade/Repair </v>
          </cell>
        </row>
        <row r="57">
          <cell r="B57" t="str">
            <v>Cooling</v>
          </cell>
          <cell r="C57" t="str">
            <v xml:space="preserve">   PTAC (thru-wall A/C)- Install/Upgrade/Repair </v>
          </cell>
        </row>
        <row r="58">
          <cell r="B58" t="str">
            <v>Cooling</v>
          </cell>
          <cell r="C58" t="str">
            <v xml:space="preserve">   RTU (Roof-top unit)- Install/Upgrade </v>
          </cell>
        </row>
        <row r="59">
          <cell r="B59" t="str">
            <v>Cooling</v>
          </cell>
          <cell r="C59" t="str">
            <v xml:space="preserve">   Split System A/C- Install/Upgrade/Repair </v>
          </cell>
        </row>
        <row r="60">
          <cell r="B60" t="str">
            <v>Cooling</v>
          </cell>
          <cell r="C60" t="str">
            <v xml:space="preserve">   Thermostat/Cooling System Temperature Setting- Increase/Adjust </v>
          </cell>
        </row>
        <row r="61">
          <cell r="B61" t="str">
            <v>Cooling</v>
          </cell>
          <cell r="C61" t="str">
            <v xml:space="preserve">   Window A/C Unit- Install/Upgrade/Repair </v>
          </cell>
        </row>
        <row r="62">
          <cell r="B62" t="str">
            <v>Cooling</v>
          </cell>
          <cell r="C62" t="str">
            <v xml:space="preserve">   Other Cooling Improvement </v>
          </cell>
        </row>
        <row r="63">
          <cell r="C63" t="str">
            <v xml:space="preserve">DOMESTIC HOT WATER </v>
          </cell>
        </row>
        <row r="64">
          <cell r="B64" t="str">
            <v>Domestic Hot Water</v>
          </cell>
          <cell r="C64" t="str">
            <v xml:space="preserve">   Condensing Water Heater- Install/Upgrade </v>
          </cell>
        </row>
        <row r="65">
          <cell r="B65" t="str">
            <v>Domestic Hot Water</v>
          </cell>
          <cell r="C65" t="str">
            <v xml:space="preserve">   Controls- Install/Upgrade </v>
          </cell>
        </row>
        <row r="66">
          <cell r="B66" t="str">
            <v>Domestic Hot Water</v>
          </cell>
          <cell r="C66" t="str">
            <v xml:space="preserve">   Controls- Tune/Calibrate </v>
          </cell>
        </row>
        <row r="67">
          <cell r="B67" t="str">
            <v>Domestic Hot Water</v>
          </cell>
          <cell r="C67" t="str">
            <v xml:space="preserve">   Flue Damper- Install/Upgrade/Repair </v>
          </cell>
        </row>
        <row r="68">
          <cell r="B68" t="str">
            <v>Domestic Hot Water</v>
          </cell>
          <cell r="C68" t="str">
            <v xml:space="preserve">   Heat Exchanger- Install/Upgrade/Repair </v>
          </cell>
        </row>
        <row r="69">
          <cell r="B69" t="str">
            <v>Domestic Hot Water</v>
          </cell>
          <cell r="C69" t="str">
            <v xml:space="preserve">   Heat Pump- Install/Upgrade/Repair </v>
          </cell>
        </row>
        <row r="70">
          <cell r="B70" t="str">
            <v>Domestic Hot Water</v>
          </cell>
          <cell r="C70" t="str">
            <v xml:space="preserve">   Mixing Valve Temperature Setting- Reduce/Adjust </v>
          </cell>
        </row>
        <row r="71">
          <cell r="B71" t="str">
            <v>Domestic Hot Water</v>
          </cell>
          <cell r="C71" t="str">
            <v xml:space="preserve">   Mixing Valve- Install/Upgrade </v>
          </cell>
        </row>
        <row r="72">
          <cell r="B72" t="str">
            <v>Domestic Hot Water</v>
          </cell>
          <cell r="C72" t="str">
            <v xml:space="preserve">   Pipes/Distribution System- Balance </v>
          </cell>
        </row>
        <row r="73">
          <cell r="B73" t="str">
            <v>Domestic Hot Water</v>
          </cell>
          <cell r="C73" t="str">
            <v xml:space="preserve">   Pipes/Distribution System- Insulate </v>
          </cell>
        </row>
        <row r="74">
          <cell r="B74" t="str">
            <v>Domestic Hot Water</v>
          </cell>
          <cell r="C74" t="str">
            <v xml:space="preserve">   Pipes- Repair/Fix Leaks </v>
          </cell>
        </row>
        <row r="75">
          <cell r="B75" t="str">
            <v>Domestic Hot Water</v>
          </cell>
          <cell r="C75" t="str">
            <v xml:space="preserve">   Recirculation Temperature Setpoint- Reduce/Adjust </v>
          </cell>
        </row>
        <row r="76">
          <cell r="B76" t="str">
            <v>Domestic Hot Water</v>
          </cell>
          <cell r="C76" t="str">
            <v xml:space="preserve">   Temperature Sensors- Install </v>
          </cell>
        </row>
        <row r="77">
          <cell r="B77" t="str">
            <v>Domestic Hot Water</v>
          </cell>
          <cell r="C77" t="str">
            <v xml:space="preserve">   Temperature Setting- Reduce/Adjust </v>
          </cell>
        </row>
        <row r="78">
          <cell r="B78" t="str">
            <v>Domestic Hot Water</v>
          </cell>
          <cell r="C78" t="str">
            <v xml:space="preserve">   Water Heater- Convert Fuel Type </v>
          </cell>
        </row>
        <row r="79">
          <cell r="B79" t="str">
            <v>Domestic Hot Water</v>
          </cell>
          <cell r="C79" t="str">
            <v xml:space="preserve">   Water Heater- Install Dedicated Water Heater </v>
          </cell>
        </row>
        <row r="80">
          <cell r="B80" t="str">
            <v>Domestic Hot Water</v>
          </cell>
          <cell r="C80" t="str">
            <v xml:space="preserve">   Water Heater- Install/Upgrade </v>
          </cell>
        </row>
        <row r="81">
          <cell r="B81" t="str">
            <v>Domestic Hot Water</v>
          </cell>
          <cell r="C81" t="str">
            <v xml:space="preserve">   Water Heater- Repair/Clean/Tune/Calibrate </v>
          </cell>
        </row>
        <row r="82">
          <cell r="B82" t="str">
            <v>Domestic Hot Water</v>
          </cell>
          <cell r="C82" t="str">
            <v xml:space="preserve">   Other Domestic Hot Water Improvement </v>
          </cell>
        </row>
        <row r="83">
          <cell r="C83" t="str">
            <v xml:space="preserve">WATER </v>
          </cell>
        </row>
        <row r="84">
          <cell r="B84" t="str">
            <v>Water</v>
          </cell>
          <cell r="C84" t="str">
            <v xml:space="preserve">   Irrigation Conservation System -Install/Upgrade </v>
          </cell>
        </row>
        <row r="85">
          <cell r="B85" t="str">
            <v>Water</v>
          </cell>
          <cell r="C85" t="str">
            <v xml:space="preserve">   Leaks- Repair</v>
          </cell>
        </row>
        <row r="86">
          <cell r="B86" t="str">
            <v>Water</v>
          </cell>
          <cell r="C86" t="str">
            <v xml:space="preserve">   Low Flush Toilets- Install </v>
          </cell>
        </row>
        <row r="87">
          <cell r="B87" t="str">
            <v>Water</v>
          </cell>
          <cell r="C87" t="str">
            <v xml:space="preserve">   Low-Flow Faucets/Showerheads- Install </v>
          </cell>
        </row>
        <row r="88">
          <cell r="B88" t="str">
            <v>Water</v>
          </cell>
          <cell r="C88" t="str">
            <v xml:space="preserve">   Water Conserving Fixtures- Install </v>
          </cell>
        </row>
        <row r="89">
          <cell r="B89" t="str">
            <v>Water</v>
          </cell>
          <cell r="C89" t="str">
            <v xml:space="preserve">   Other Water Improvement </v>
          </cell>
        </row>
        <row r="90">
          <cell r="C90" t="str">
            <v xml:space="preserve">VENTILATION </v>
          </cell>
        </row>
        <row r="91">
          <cell r="B91" t="str">
            <v>Ventilation</v>
          </cell>
          <cell r="C91" t="str">
            <v xml:space="preserve">   AHU (Air Handling Unit)- Install/Upgrade </v>
          </cell>
        </row>
        <row r="92">
          <cell r="B92" t="str">
            <v>Ventilation</v>
          </cell>
          <cell r="C92" t="str">
            <v xml:space="preserve">   AHU (Air Handling Unit)- Repair/Clean </v>
          </cell>
        </row>
        <row r="93">
          <cell r="B93" t="str">
            <v>Ventilation</v>
          </cell>
          <cell r="C93" t="str">
            <v xml:space="preserve">   Air Handler Fan- Repair/Upgrade </v>
          </cell>
        </row>
        <row r="94">
          <cell r="B94" t="str">
            <v>Ventilation</v>
          </cell>
          <cell r="C94" t="str">
            <v xml:space="preserve">   Boiler Room Ventilation- Improve </v>
          </cell>
        </row>
        <row r="95">
          <cell r="B95" t="str">
            <v>Ventilation</v>
          </cell>
          <cell r="C95" t="str">
            <v xml:space="preserve">   Electronic Dampers- Install/Upgrade </v>
          </cell>
        </row>
        <row r="96">
          <cell r="B96" t="str">
            <v>Ventilation</v>
          </cell>
          <cell r="C96" t="str">
            <v xml:space="preserve">   Ducts/Distribution System- Balance </v>
          </cell>
        </row>
        <row r="97">
          <cell r="B97" t="str">
            <v>Ventilation</v>
          </cell>
          <cell r="C97" t="str">
            <v xml:space="preserve">   Ducts- Insulate </v>
          </cell>
        </row>
        <row r="98">
          <cell r="B98" t="str">
            <v>Ventilation</v>
          </cell>
          <cell r="C98" t="str">
            <v xml:space="preserve">   Ducts- Repair/Clean/Seal </v>
          </cell>
        </row>
        <row r="99">
          <cell r="B99" t="str">
            <v>Ventilation</v>
          </cell>
          <cell r="C99" t="str">
            <v xml:space="preserve">   Economizer Control- Install/Upgrade </v>
          </cell>
        </row>
        <row r="100">
          <cell r="B100" t="str">
            <v>Ventilation</v>
          </cell>
          <cell r="C100" t="str">
            <v xml:space="preserve">   Economizer- Install/Upgrade </v>
          </cell>
        </row>
        <row r="101">
          <cell r="B101" t="str">
            <v>Ventilation</v>
          </cell>
          <cell r="C101" t="str">
            <v xml:space="preserve">   Exhaust Fan- Install/Upgrade </v>
          </cell>
        </row>
        <row r="102">
          <cell r="B102" t="str">
            <v>Ventilation</v>
          </cell>
          <cell r="C102" t="str">
            <v xml:space="preserve">   Fans- Install/Upgrade </v>
          </cell>
        </row>
        <row r="103">
          <cell r="B103" t="str">
            <v>Ventilation</v>
          </cell>
          <cell r="C103" t="str">
            <v xml:space="preserve">   Fans- Repair </v>
          </cell>
        </row>
        <row r="104">
          <cell r="B104" t="str">
            <v>Ventilation</v>
          </cell>
          <cell r="C104" t="str">
            <v xml:space="preserve">   Flow Rate/CFM- Reduce </v>
          </cell>
        </row>
        <row r="105">
          <cell r="B105" t="str">
            <v>Ventilation</v>
          </cell>
          <cell r="C105" t="str">
            <v xml:space="preserve">   Heat or Energy Recovery Ventilatior (HRV/ERV)- Install/Upgrade </v>
          </cell>
        </row>
        <row r="106">
          <cell r="B106" t="str">
            <v>Ventilation</v>
          </cell>
          <cell r="C106" t="str">
            <v xml:space="preserve">   Roof Fans- Install/Upgrade </v>
          </cell>
        </row>
        <row r="107">
          <cell r="B107" t="str">
            <v>Ventilation</v>
          </cell>
          <cell r="C107" t="str">
            <v xml:space="preserve">   Ventilation System Controls- Install/Upgrade </v>
          </cell>
        </row>
        <row r="108">
          <cell r="B108" t="str">
            <v>Ventilation</v>
          </cell>
          <cell r="C108" t="str">
            <v xml:space="preserve">   Ventilation System Controls- Tune/Calibrate </v>
          </cell>
        </row>
        <row r="109">
          <cell r="B109" t="str">
            <v>Ventilation</v>
          </cell>
          <cell r="C109" t="str">
            <v xml:space="preserve">   Vents/Registers- Clean </v>
          </cell>
        </row>
        <row r="110">
          <cell r="B110" t="str">
            <v>Ventilation</v>
          </cell>
          <cell r="C110" t="str">
            <v xml:space="preserve">   Vents/Registers- Install/Upgrade  </v>
          </cell>
        </row>
        <row r="111">
          <cell r="B111" t="str">
            <v>Ventilation</v>
          </cell>
          <cell r="C111" t="str">
            <v xml:space="preserve">   VFD Exhaust Fan- Install/Upgrade/Repair </v>
          </cell>
        </row>
        <row r="112">
          <cell r="B112" t="str">
            <v>Ventilation</v>
          </cell>
          <cell r="C112" t="str">
            <v xml:space="preserve">   VFD Motor- Install/Upgrade/Repair </v>
          </cell>
        </row>
        <row r="113">
          <cell r="B113" t="str">
            <v>Ventilation</v>
          </cell>
          <cell r="C113" t="str">
            <v xml:space="preserve">   Other Ventilation Measure </v>
          </cell>
        </row>
        <row r="114">
          <cell r="C114" t="str">
            <v xml:space="preserve">BUILDING ENCLOSURE </v>
          </cell>
        </row>
        <row r="115">
          <cell r="B115" t="str">
            <v>Building Enclosure</v>
          </cell>
          <cell r="C115" t="str">
            <v xml:space="preserve">   Apartment Exhaust Grilles- Air-Seal </v>
          </cell>
        </row>
        <row r="116">
          <cell r="B116" t="str">
            <v>Building Enclosure</v>
          </cell>
          <cell r="C116" t="str">
            <v xml:space="preserve">   Building- Air Seal/Weatherstrip </v>
          </cell>
        </row>
        <row r="117">
          <cell r="B117" t="str">
            <v>Building Enclosure</v>
          </cell>
          <cell r="C117" t="str">
            <v xml:space="preserve">   Building- Insulate </v>
          </cell>
        </row>
        <row r="118">
          <cell r="B118" t="str">
            <v>Building Enclosure</v>
          </cell>
          <cell r="C118" t="str">
            <v xml:space="preserve">   Door- Air Seal/Weatherstrip/Replace </v>
          </cell>
        </row>
        <row r="119">
          <cell r="B119" t="str">
            <v>Building Enclosure</v>
          </cell>
          <cell r="C119" t="str">
            <v xml:space="preserve">   In-unit Air Conditioner- Air Seal/Insulate </v>
          </cell>
        </row>
        <row r="120">
          <cell r="B120" t="str">
            <v>Building Enclosure</v>
          </cell>
          <cell r="C120" t="str">
            <v xml:space="preserve">   Leaking Roof/Wall/Floor- Fix </v>
          </cell>
        </row>
        <row r="121">
          <cell r="B121" t="str">
            <v>Building Enclosure</v>
          </cell>
          <cell r="C121" t="str">
            <v xml:space="preserve">   Roof/Attic- Air Seal </v>
          </cell>
        </row>
        <row r="122">
          <cell r="B122" t="str">
            <v>Building Enclosure</v>
          </cell>
          <cell r="C122" t="str">
            <v xml:space="preserve">   Roof/Attic- Insulate </v>
          </cell>
        </row>
        <row r="123">
          <cell r="B123" t="str">
            <v>Building Enclosure</v>
          </cell>
          <cell r="C123" t="str">
            <v xml:space="preserve">   Storm Window- Install </v>
          </cell>
        </row>
        <row r="124">
          <cell r="B124" t="str">
            <v>Building Enclosure</v>
          </cell>
          <cell r="C124" t="str">
            <v xml:space="preserve">   Wall- Air Seal </v>
          </cell>
        </row>
        <row r="125">
          <cell r="B125" t="str">
            <v>Building Enclosure</v>
          </cell>
          <cell r="C125" t="str">
            <v xml:space="preserve">   Wall- Insulate </v>
          </cell>
        </row>
        <row r="126">
          <cell r="B126" t="str">
            <v>Building Enclosure</v>
          </cell>
          <cell r="C126" t="str">
            <v xml:space="preserve">   Window- Air Seal/Weatherstrip </v>
          </cell>
        </row>
        <row r="127">
          <cell r="B127" t="str">
            <v>Building Enclosure</v>
          </cell>
          <cell r="C127" t="str">
            <v xml:space="preserve">   Window- Repair </v>
          </cell>
        </row>
        <row r="128">
          <cell r="B128" t="str">
            <v>Building Enclosure</v>
          </cell>
          <cell r="C128" t="str">
            <v xml:space="preserve">   Window- Replace </v>
          </cell>
        </row>
        <row r="129">
          <cell r="B129" t="str">
            <v>Building Enclosure</v>
          </cell>
          <cell r="C129" t="str">
            <v xml:space="preserve">   Other Building Enclosure Improvement </v>
          </cell>
        </row>
        <row r="130">
          <cell r="C130" t="str">
            <v xml:space="preserve">LIGHTING </v>
          </cell>
        </row>
        <row r="131">
          <cell r="B131" t="str">
            <v>Lighting</v>
          </cell>
          <cell r="C131" t="str">
            <v xml:space="preserve">   Bi-Level Lighting- Install </v>
          </cell>
        </row>
        <row r="132">
          <cell r="B132" t="str">
            <v>Lighting</v>
          </cell>
          <cell r="C132" t="str">
            <v xml:space="preserve">   Building Ligthing- Upgrade </v>
          </cell>
        </row>
        <row r="133">
          <cell r="B133" t="str">
            <v>Lighting</v>
          </cell>
          <cell r="C133" t="str">
            <v xml:space="preserve">   Commercial Space Lighting- Upgrade </v>
          </cell>
        </row>
        <row r="134">
          <cell r="B134" t="str">
            <v>Lighting</v>
          </cell>
          <cell r="C134" t="str">
            <v xml:space="preserve">   Common Area Lighting- Upgrade </v>
          </cell>
        </row>
        <row r="135">
          <cell r="B135" t="str">
            <v>Lighting</v>
          </cell>
          <cell r="C135" t="str">
            <v xml:space="preserve">   Exterior Lighting- Upgrade </v>
          </cell>
        </row>
        <row r="136">
          <cell r="B136" t="str">
            <v>Lighting</v>
          </cell>
          <cell r="C136" t="str">
            <v xml:space="preserve">   In-Unit Lighting- Upgrade </v>
          </cell>
        </row>
        <row r="137">
          <cell r="B137" t="str">
            <v>Lighting</v>
          </cell>
          <cell r="C137" t="str">
            <v xml:space="preserve">   Lighting Controls/Sensors/Timers- Install/Upgrade </v>
          </cell>
        </row>
        <row r="138">
          <cell r="B138" t="str">
            <v>Lighting</v>
          </cell>
          <cell r="C138" t="str">
            <v xml:space="preserve">   Other Lighting Improvement </v>
          </cell>
        </row>
        <row r="139">
          <cell r="C139" t="str">
            <v xml:space="preserve">APPLIANCES </v>
          </cell>
        </row>
        <row r="140">
          <cell r="B140" t="str">
            <v>Appliances</v>
          </cell>
          <cell r="C140" t="str">
            <v xml:space="preserve">   Commercial Kitchen Appliances- Install/Upgrade </v>
          </cell>
        </row>
        <row r="141">
          <cell r="B141" t="str">
            <v>Appliances</v>
          </cell>
          <cell r="C141" t="str">
            <v xml:space="preserve">   Dishwashers- Install/Upgrade </v>
          </cell>
        </row>
        <row r="142">
          <cell r="B142" t="str">
            <v>Appliances</v>
          </cell>
          <cell r="C142" t="str">
            <v xml:space="preserve">   Dryers- Fuel Conversion </v>
          </cell>
        </row>
        <row r="143">
          <cell r="B143" t="str">
            <v>Appliances</v>
          </cell>
          <cell r="C143" t="str">
            <v xml:space="preserve">   Dryers- Install/Upgrade </v>
          </cell>
        </row>
        <row r="144">
          <cell r="B144" t="str">
            <v>Appliances</v>
          </cell>
          <cell r="C144" t="str">
            <v xml:space="preserve">   ENERGY STAR Dishwashers- Install/Upgrade </v>
          </cell>
        </row>
        <row r="145">
          <cell r="B145" t="str">
            <v>Appliances</v>
          </cell>
          <cell r="C145" t="str">
            <v xml:space="preserve">   ENERGY STAR Refrigerators- Install/Upgrade </v>
          </cell>
        </row>
        <row r="146">
          <cell r="B146" t="str">
            <v>Appliances</v>
          </cell>
          <cell r="C146" t="str">
            <v xml:space="preserve">   ENERGY STAR Washing Machines- Install/Upgrade </v>
          </cell>
        </row>
        <row r="147">
          <cell r="B147" t="str">
            <v>Appliances</v>
          </cell>
          <cell r="C147" t="str">
            <v xml:space="preserve">   Refrigerators- Install/Upgrade </v>
          </cell>
        </row>
        <row r="148">
          <cell r="B148" t="str">
            <v>Appliances</v>
          </cell>
          <cell r="C148" t="str">
            <v xml:space="preserve">   Vending Machine Control- Install/Upgrade </v>
          </cell>
        </row>
        <row r="149">
          <cell r="B149" t="str">
            <v>Appliances</v>
          </cell>
          <cell r="C149" t="str">
            <v xml:space="preserve">   Washing Machines- Install/Upgrade </v>
          </cell>
        </row>
        <row r="150">
          <cell r="B150" t="str">
            <v>Appliances</v>
          </cell>
          <cell r="C150" t="str">
            <v xml:space="preserve">   Other Appliance Improvement </v>
          </cell>
        </row>
        <row r="151">
          <cell r="C151" t="str">
            <v xml:space="preserve">PUMPS/MOTORS </v>
          </cell>
        </row>
        <row r="152">
          <cell r="B152" t="str">
            <v>Pumps/Motors</v>
          </cell>
          <cell r="C152" t="str">
            <v xml:space="preserve">   Cooling Pumps- Install/Upgrade </v>
          </cell>
        </row>
        <row r="153">
          <cell r="B153" t="str">
            <v>Pumps/Motors</v>
          </cell>
          <cell r="C153" t="str">
            <v xml:space="preserve">   Heating Pumps- Install/Upgrade </v>
          </cell>
        </row>
        <row r="154">
          <cell r="B154" t="str">
            <v>Pumps/Motors</v>
          </cell>
          <cell r="C154" t="str">
            <v xml:space="preserve">   High-Efficiency/VFD Pumps/Motors-Install </v>
          </cell>
        </row>
        <row r="155">
          <cell r="B155" t="str">
            <v>Pumps/Motors</v>
          </cell>
          <cell r="C155" t="str">
            <v xml:space="preserve">   Pump/Motor Controls- Upgrade </v>
          </cell>
        </row>
        <row r="156">
          <cell r="B156" t="str">
            <v>Pumps/Motors</v>
          </cell>
          <cell r="C156" t="str">
            <v xml:space="preserve">   Pumps/Motors- Install/Upgrade </v>
          </cell>
        </row>
        <row r="157">
          <cell r="B157" t="str">
            <v>Pumps/Motors</v>
          </cell>
          <cell r="C157" t="str">
            <v xml:space="preserve">   Pumps/Motors- Repair </v>
          </cell>
        </row>
        <row r="158">
          <cell r="B158" t="str">
            <v>Pumps/Motors</v>
          </cell>
          <cell r="C158" t="str">
            <v xml:space="preserve">   Water Booster Pumps- Install/Upgrade </v>
          </cell>
        </row>
        <row r="159">
          <cell r="B159" t="str">
            <v>Pumps/Motors</v>
          </cell>
          <cell r="C159" t="str">
            <v xml:space="preserve">   Other Pump/Motor Improvement </v>
          </cell>
        </row>
        <row r="160">
          <cell r="C160" t="str">
            <v>On-Site Generation</v>
          </cell>
        </row>
        <row r="161">
          <cell r="B161" t="str">
            <v>On-Site Generation</v>
          </cell>
          <cell r="C161" t="str">
            <v xml:space="preserve">   Feasability Assessment </v>
          </cell>
        </row>
        <row r="162">
          <cell r="B162" t="str">
            <v>On-Site Generation</v>
          </cell>
          <cell r="C162" t="str">
            <v xml:space="preserve">   Solar PV- Install </v>
          </cell>
        </row>
        <row r="163">
          <cell r="B163" t="str">
            <v>On-Site Generation</v>
          </cell>
          <cell r="C163" t="str">
            <v xml:space="preserve">   Solar Thermal- Install </v>
          </cell>
        </row>
        <row r="164">
          <cell r="B164" t="str">
            <v>On-Site Generation</v>
          </cell>
          <cell r="C164" t="str">
            <v xml:space="preserve">   Wind Turbine- Install </v>
          </cell>
        </row>
        <row r="165">
          <cell r="B165" t="str">
            <v>On-Site Generation</v>
          </cell>
          <cell r="C165" t="str">
            <v xml:space="preserve">   Other Renewable Energy Improvement </v>
          </cell>
        </row>
        <row r="166">
          <cell r="C166" t="str">
            <v xml:space="preserve">    Cogeneration System- Install  </v>
          </cell>
        </row>
        <row r="167">
          <cell r="B167" t="str">
            <v>Operations and Maintenance</v>
          </cell>
          <cell r="C167" t="str">
            <v>OPERATIONS AND MAINTENANCE</v>
          </cell>
        </row>
        <row r="168">
          <cell r="B168" t="str">
            <v>Operations and Maintenance</v>
          </cell>
          <cell r="C168" t="str">
            <v xml:space="preserve">   Building O&amp;M Schedule- Implement </v>
          </cell>
        </row>
        <row r="169">
          <cell r="B169" t="str">
            <v>Operations and Maintenance</v>
          </cell>
          <cell r="C169" t="str">
            <v xml:space="preserve">   Building Staff Energy Education- Conduct </v>
          </cell>
        </row>
        <row r="170">
          <cell r="B170" t="str">
            <v>Operations and Maintenance</v>
          </cell>
          <cell r="C170" t="str">
            <v xml:space="preserve">   Preventative Maintenance Schedule- Implement </v>
          </cell>
        </row>
        <row r="171">
          <cell r="B171" t="str">
            <v>Operations and Maintenance</v>
          </cell>
          <cell r="C171" t="str">
            <v xml:space="preserve">   Tenant/Occupant Energy Education- Conduct </v>
          </cell>
        </row>
        <row r="172">
          <cell r="B172" t="str">
            <v>Operations and Maintenance</v>
          </cell>
          <cell r="C172" t="str">
            <v xml:space="preserve">   Other O&amp;M Improvement </v>
          </cell>
        </row>
        <row r="173">
          <cell r="B173" t="str">
            <v>Non-Energy Saving</v>
          </cell>
          <cell r="C173" t="str">
            <v xml:space="preserve">NON-ENERGY SAVING </v>
          </cell>
        </row>
        <row r="174">
          <cell r="B174" t="str">
            <v>Non-Energy Saving</v>
          </cell>
          <cell r="C174" t="str">
            <v xml:space="preserve">   CO Monitors- Install/Upgrade </v>
          </cell>
        </row>
        <row r="175">
          <cell r="B175" t="str">
            <v>Non-Energy Saving</v>
          </cell>
          <cell r="C175" t="str">
            <v xml:space="preserve">   Energy Audit- Conduct </v>
          </cell>
        </row>
        <row r="176">
          <cell r="B176" t="str">
            <v>Non-Energy Saving</v>
          </cell>
          <cell r="C176" t="str">
            <v xml:space="preserve">   Energy Benchmark- Conduct </v>
          </cell>
        </row>
        <row r="177">
          <cell r="B177" t="str">
            <v>Non-Energy Saving</v>
          </cell>
          <cell r="C177" t="str">
            <v xml:space="preserve">   Energy Disclosure Law- Achieve Compliance </v>
          </cell>
        </row>
        <row r="178">
          <cell r="B178" t="str">
            <v>Non-Energy Saving</v>
          </cell>
          <cell r="C178" t="str">
            <v xml:space="preserve">   Energy Supplier Tariff- Change </v>
          </cell>
        </row>
        <row r="179">
          <cell r="B179" t="str">
            <v>Non-Energy Saving</v>
          </cell>
          <cell r="C179" t="str">
            <v xml:space="preserve">   Smoke Detectors- Install/Upgrade </v>
          </cell>
        </row>
        <row r="180">
          <cell r="B180" t="str">
            <v>Non-Energy Saving</v>
          </cell>
          <cell r="C180" t="str">
            <v xml:space="preserve">   Other Non-Energy Saving Improvement </v>
          </cell>
        </row>
        <row r="181">
          <cell r="B181" t="str">
            <v>Other</v>
          </cell>
          <cell r="C181" t="str">
            <v xml:space="preserve">OTHER </v>
          </cell>
        </row>
        <row r="182">
          <cell r="B182" t="str">
            <v>Other</v>
          </cell>
          <cell r="C182" t="str">
            <v xml:space="preserve">    Elevator- Reduce Operating Hours  </v>
          </cell>
        </row>
        <row r="183">
          <cell r="B183" t="str">
            <v>Other</v>
          </cell>
          <cell r="C183" t="str">
            <v xml:space="preserve">    Elevator- Reduce Operating Hours  </v>
          </cell>
        </row>
        <row r="184">
          <cell r="B184" t="str">
            <v>Other</v>
          </cell>
          <cell r="C184" t="str">
            <v xml:space="preserve">    Other  </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roup 1"/>
      <sheetName val="Base Calc"/>
      <sheetName val="Lowrise Indoor Water Use"/>
      <sheetName val="Lowrise Wastewater Use"/>
      <sheetName val="Summary D+C"/>
      <sheetName val="Summary O+M"/>
      <sheetName val="Summary ND"/>
    </sheetNames>
    <sheetDataSet>
      <sheetData sheetId="0">
        <row r="44">
          <cell r="C44" t="str">
            <v>Toilet (male)</v>
          </cell>
        </row>
        <row r="45">
          <cell r="C45" t="str">
            <v>Toilet (female)</v>
          </cell>
        </row>
        <row r="46">
          <cell r="C46" t="str">
            <v>Urinal</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id="1" name="measures_table" displayName="measures_table" ref="A1:N24" totalsRowShown="0">
  <autoFilter ref="A1:N24"/>
  <tableColumns count="14">
    <tableColumn id="12" name="Advanced controls and metering"/>
    <tableColumn id="2" name="Appliances and plug load reductions"/>
    <tableColumn id="15" name="Boiler plant improvements"/>
    <tableColumn id="3" name="Building envelope"/>
    <tableColumn id="4" name="Chiller plant improvements"/>
    <tableColumn id="5" name="Distributed generation"/>
    <tableColumn id="6" name="Domestic hot water heating"/>
    <tableColumn id="7" name="Electric motors and drives"/>
    <tableColumn id="8" name="Heating ventilating and air conditioning"/>
    <tableColumn id="9" name="Lighting"/>
    <tableColumn id="10" name="Renewable energy systems"/>
    <tableColumn id="13" name="Water and sewer conservation"/>
    <tableColumn id="1" name="Water and steam distribution"/>
    <tableColumn id="11" name="Uncategorized"/>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L30"/>
  <sheetViews>
    <sheetView showGridLines="0" tabSelected="1" zoomScaleNormal="100" workbookViewId="0">
      <selection activeCell="O13" sqref="O13"/>
    </sheetView>
  </sheetViews>
  <sheetFormatPr defaultColWidth="9.28515625" defaultRowHeight="14.25"/>
  <cols>
    <col min="1" max="1" width="2.42578125" style="187" customWidth="1"/>
    <col min="2" max="2" width="2.28515625" style="187" customWidth="1"/>
    <col min="3" max="3" width="3.28515625" style="187" customWidth="1"/>
    <col min="4" max="4" width="26.28515625" style="187" customWidth="1"/>
    <col min="5" max="9" width="9.28515625" style="187"/>
    <col min="10" max="10" width="14.28515625" style="187" customWidth="1"/>
    <col min="11" max="11" width="13.28515625" style="187" customWidth="1"/>
    <col min="12" max="12" width="4" style="187" customWidth="1"/>
    <col min="13" max="16384" width="9.28515625" style="187"/>
  </cols>
  <sheetData>
    <row r="1" spans="1:12">
      <c r="A1" s="788" t="s">
        <v>828</v>
      </c>
      <c r="B1" s="184"/>
      <c r="C1" s="185"/>
      <c r="D1" s="186"/>
      <c r="E1" s="186"/>
    </row>
    <row r="2" spans="1:12" ht="23.25" customHeight="1">
      <c r="B2" s="185" t="s">
        <v>367</v>
      </c>
      <c r="C2" s="186"/>
      <c r="D2" s="186"/>
      <c r="E2" s="186"/>
      <c r="F2" s="186"/>
      <c r="G2" s="186"/>
      <c r="H2" s="186"/>
      <c r="I2" s="186"/>
    </row>
    <row r="3" spans="1:12" ht="23.25" customHeight="1">
      <c r="A3" s="184"/>
      <c r="B3" s="185"/>
      <c r="C3" s="186"/>
      <c r="D3" s="186"/>
      <c r="E3" s="186"/>
      <c r="F3" s="186"/>
      <c r="G3" s="186"/>
      <c r="H3" s="186"/>
      <c r="I3" s="186"/>
    </row>
    <row r="4" spans="1:12" ht="48.75" customHeight="1">
      <c r="B4" s="188"/>
      <c r="C4" s="793" t="s">
        <v>804</v>
      </c>
      <c r="D4" s="793"/>
      <c r="E4" s="793"/>
      <c r="F4" s="793"/>
      <c r="G4" s="793"/>
      <c r="H4" s="793"/>
      <c r="I4" s="793"/>
      <c r="J4" s="793"/>
      <c r="K4" s="793"/>
      <c r="L4" s="188"/>
    </row>
    <row r="5" spans="1:12" ht="25.5" customHeight="1">
      <c r="B5" s="188"/>
      <c r="C5" s="792" t="s">
        <v>787</v>
      </c>
      <c r="D5" s="792"/>
      <c r="E5" s="792"/>
      <c r="F5" s="792"/>
      <c r="G5" s="792"/>
      <c r="H5" s="792"/>
      <c r="I5" s="792"/>
      <c r="J5" s="792"/>
      <c r="K5" s="792"/>
      <c r="L5" s="188"/>
    </row>
    <row r="6" spans="1:12" ht="27" customHeight="1" thickBot="1">
      <c r="B6" s="188"/>
      <c r="C6" s="189" t="s">
        <v>302</v>
      </c>
      <c r="D6" s="190"/>
      <c r="E6" s="190"/>
      <c r="F6" s="190"/>
      <c r="G6" s="190"/>
      <c r="H6" s="190"/>
      <c r="I6" s="190"/>
      <c r="J6" s="190"/>
      <c r="K6" s="190"/>
      <c r="L6" s="188"/>
    </row>
    <row r="7" spans="1:12" s="191" customFormat="1" ht="14.1" customHeight="1">
      <c r="B7" s="192"/>
      <c r="C7" s="192"/>
      <c r="D7" s="192"/>
      <c r="E7" s="192"/>
      <c r="F7" s="192"/>
      <c r="G7" s="192"/>
      <c r="H7" s="192"/>
      <c r="I7" s="192"/>
      <c r="J7" s="192"/>
      <c r="K7" s="192"/>
      <c r="L7" s="192"/>
    </row>
    <row r="8" spans="1:12" s="191" customFormat="1" ht="31.5" customHeight="1">
      <c r="B8" s="192"/>
      <c r="C8" s="192"/>
      <c r="D8" s="193" t="s">
        <v>366</v>
      </c>
      <c r="E8" s="795" t="s">
        <v>805</v>
      </c>
      <c r="F8" s="796"/>
      <c r="G8" s="796"/>
      <c r="H8" s="796"/>
      <c r="I8" s="796"/>
      <c r="J8" s="796"/>
      <c r="K8" s="797"/>
      <c r="L8" s="192"/>
    </row>
    <row r="9" spans="1:12" s="191" customFormat="1" ht="31.5" customHeight="1">
      <c r="B9" s="192"/>
      <c r="C9" s="192"/>
      <c r="D9" s="194" t="s">
        <v>328</v>
      </c>
      <c r="E9" s="795" t="s">
        <v>806</v>
      </c>
      <c r="F9" s="796"/>
      <c r="G9" s="796"/>
      <c r="H9" s="796"/>
      <c r="I9" s="796"/>
      <c r="J9" s="796"/>
      <c r="K9" s="797"/>
      <c r="L9" s="192"/>
    </row>
    <row r="10" spans="1:12" s="191" customFormat="1" ht="18" customHeight="1">
      <c r="B10" s="192"/>
      <c r="C10" s="192"/>
      <c r="D10" s="195" t="s">
        <v>374</v>
      </c>
      <c r="E10" s="794" t="s">
        <v>807</v>
      </c>
      <c r="F10" s="794"/>
      <c r="G10" s="794"/>
      <c r="H10" s="794"/>
      <c r="I10" s="794"/>
      <c r="J10" s="794"/>
      <c r="K10" s="794"/>
      <c r="L10" s="192"/>
    </row>
    <row r="11" spans="1:12" s="191" customFormat="1" ht="18" customHeight="1">
      <c r="B11" s="192"/>
      <c r="C11" s="192"/>
      <c r="D11" s="195" t="s">
        <v>375</v>
      </c>
      <c r="E11" s="794"/>
      <c r="F11" s="794"/>
      <c r="G11" s="794"/>
      <c r="H11" s="794"/>
      <c r="I11" s="794"/>
      <c r="J11" s="794"/>
      <c r="K11" s="794"/>
      <c r="L11" s="192"/>
    </row>
    <row r="12" spans="1:12" s="191" customFormat="1" ht="18" customHeight="1">
      <c r="B12" s="192"/>
      <c r="C12" s="192"/>
      <c r="D12" s="195" t="s">
        <v>376</v>
      </c>
      <c r="E12" s="794"/>
      <c r="F12" s="794"/>
      <c r="G12" s="794"/>
      <c r="H12" s="794"/>
      <c r="I12" s="794"/>
      <c r="J12" s="794"/>
      <c r="K12" s="794"/>
      <c r="L12" s="192"/>
    </row>
    <row r="13" spans="1:12" s="191" customFormat="1" ht="18" customHeight="1">
      <c r="B13" s="192"/>
      <c r="C13" s="192"/>
      <c r="D13" s="195" t="s">
        <v>758</v>
      </c>
      <c r="E13" s="794"/>
      <c r="F13" s="794"/>
      <c r="G13" s="794"/>
      <c r="H13" s="794"/>
      <c r="I13" s="794"/>
      <c r="J13" s="794"/>
      <c r="K13" s="794"/>
      <c r="L13" s="192"/>
    </row>
    <row r="14" spans="1:12" s="191" customFormat="1" ht="18" customHeight="1">
      <c r="B14" s="192"/>
      <c r="C14" s="192"/>
      <c r="D14" s="195" t="s">
        <v>377</v>
      </c>
      <c r="E14" s="794"/>
      <c r="F14" s="794"/>
      <c r="G14" s="794"/>
      <c r="H14" s="794"/>
      <c r="I14" s="794"/>
      <c r="J14" s="794"/>
      <c r="K14" s="794"/>
      <c r="L14" s="192"/>
    </row>
    <row r="15" spans="1:12" s="191" customFormat="1" ht="18" customHeight="1">
      <c r="B15" s="192"/>
      <c r="C15" s="192"/>
      <c r="D15" s="196" t="s">
        <v>378</v>
      </c>
      <c r="E15" s="794" t="s">
        <v>808</v>
      </c>
      <c r="F15" s="794"/>
      <c r="G15" s="794"/>
      <c r="H15" s="794"/>
      <c r="I15" s="794"/>
      <c r="J15" s="794"/>
      <c r="K15" s="794"/>
      <c r="L15" s="192"/>
    </row>
    <row r="16" spans="1:12" s="191" customFormat="1" ht="18" customHeight="1">
      <c r="B16" s="192"/>
      <c r="C16" s="192"/>
      <c r="D16" s="196" t="s">
        <v>379</v>
      </c>
      <c r="E16" s="794"/>
      <c r="F16" s="794"/>
      <c r="G16" s="794"/>
      <c r="H16" s="794"/>
      <c r="I16" s="794"/>
      <c r="J16" s="794"/>
      <c r="K16" s="794"/>
      <c r="L16" s="192"/>
    </row>
    <row r="17" spans="2:12" s="191" customFormat="1" ht="18" customHeight="1">
      <c r="B17" s="192"/>
      <c r="C17" s="192"/>
      <c r="D17" s="196" t="s">
        <v>380</v>
      </c>
      <c r="E17" s="794"/>
      <c r="F17" s="794"/>
      <c r="G17" s="794"/>
      <c r="H17" s="794"/>
      <c r="I17" s="794"/>
      <c r="J17" s="794"/>
      <c r="K17" s="794"/>
      <c r="L17" s="192"/>
    </row>
    <row r="18" spans="2:12" s="191" customFormat="1" ht="18" customHeight="1">
      <c r="B18" s="192"/>
      <c r="C18" s="197"/>
      <c r="D18" s="198" t="s">
        <v>381</v>
      </c>
      <c r="E18" s="794" t="s">
        <v>809</v>
      </c>
      <c r="F18" s="794"/>
      <c r="G18" s="794"/>
      <c r="H18" s="794"/>
      <c r="I18" s="794"/>
      <c r="J18" s="794"/>
      <c r="K18" s="794"/>
      <c r="L18" s="192"/>
    </row>
    <row r="19" spans="2:12" s="191" customFormat="1" ht="14.1" customHeight="1">
      <c r="B19" s="192"/>
      <c r="C19" s="197"/>
      <c r="D19" s="192"/>
      <c r="E19" s="192"/>
      <c r="F19" s="192"/>
      <c r="G19" s="192"/>
      <c r="H19" s="192"/>
      <c r="I19" s="192"/>
      <c r="J19" s="192"/>
      <c r="K19" s="192"/>
      <c r="L19" s="192"/>
    </row>
    <row r="20" spans="2:12" s="191" customFormat="1" ht="25.5" customHeight="1" thickBot="1">
      <c r="B20" s="192"/>
      <c r="C20" s="189" t="s">
        <v>27</v>
      </c>
      <c r="D20" s="190"/>
      <c r="E20" s="190"/>
      <c r="F20" s="190"/>
      <c r="G20" s="190"/>
      <c r="H20" s="190"/>
      <c r="I20" s="190"/>
      <c r="J20" s="190"/>
      <c r="K20" s="190"/>
      <c r="L20" s="192"/>
    </row>
    <row r="21" spans="2:12" s="191" customFormat="1" ht="15" customHeight="1">
      <c r="B21" s="192"/>
      <c r="C21" s="199"/>
      <c r="D21" s="192"/>
      <c r="E21" s="192"/>
      <c r="F21" s="192"/>
      <c r="G21" s="192"/>
      <c r="H21" s="192"/>
      <c r="I21" s="192"/>
      <c r="J21" s="192"/>
      <c r="K21" s="192"/>
      <c r="L21" s="192"/>
    </row>
    <row r="22" spans="2:12" s="191" customFormat="1" ht="21" customHeight="1">
      <c r="B22" s="192"/>
      <c r="C22" s="200" t="s">
        <v>364</v>
      </c>
      <c r="D22" s="192"/>
      <c r="E22" s="192"/>
      <c r="F22" s="192"/>
      <c r="G22" s="192"/>
      <c r="H22" s="192"/>
      <c r="I22" s="192"/>
      <c r="J22" s="192"/>
      <c r="K22" s="192"/>
      <c r="L22" s="192"/>
    </row>
    <row r="23" spans="2:12" s="203" customFormat="1" ht="46.5" customHeight="1">
      <c r="B23" s="201"/>
      <c r="C23" s="202" t="s">
        <v>44</v>
      </c>
      <c r="D23" s="791" t="s">
        <v>810</v>
      </c>
      <c r="E23" s="791"/>
      <c r="F23" s="791"/>
      <c r="G23" s="791"/>
      <c r="H23" s="791"/>
      <c r="I23" s="791"/>
      <c r="J23" s="791"/>
      <c r="K23" s="791"/>
      <c r="L23" s="201"/>
    </row>
    <row r="24" spans="2:12" s="203" customFormat="1" ht="21" customHeight="1">
      <c r="B24" s="201"/>
      <c r="C24" s="202" t="s">
        <v>45</v>
      </c>
      <c r="D24" s="791" t="s">
        <v>811</v>
      </c>
      <c r="E24" s="791"/>
      <c r="F24" s="791"/>
      <c r="G24" s="791"/>
      <c r="H24" s="791"/>
      <c r="I24" s="791"/>
      <c r="J24" s="791"/>
      <c r="K24" s="791"/>
      <c r="L24" s="201"/>
    </row>
    <row r="25" spans="2:12" s="203" customFormat="1" ht="37.5" customHeight="1">
      <c r="B25" s="201"/>
      <c r="C25" s="202" t="s">
        <v>46</v>
      </c>
      <c r="D25" s="791" t="s">
        <v>812</v>
      </c>
      <c r="E25" s="791"/>
      <c r="F25" s="791"/>
      <c r="G25" s="791"/>
      <c r="H25" s="791"/>
      <c r="I25" s="791"/>
      <c r="J25" s="791"/>
      <c r="K25" s="791"/>
      <c r="L25" s="201"/>
    </row>
    <row r="26" spans="2:12" s="206" customFormat="1" ht="22.5" customHeight="1">
      <c r="B26" s="204"/>
      <c r="C26" s="200" t="s">
        <v>329</v>
      </c>
      <c r="D26" s="205"/>
      <c r="E26" s="205"/>
      <c r="F26" s="205"/>
      <c r="G26" s="205"/>
      <c r="H26" s="205"/>
      <c r="I26" s="205"/>
      <c r="J26" s="205"/>
      <c r="K26" s="205"/>
      <c r="L26" s="204"/>
    </row>
    <row r="27" spans="2:12" s="203" customFormat="1" ht="22.5" customHeight="1">
      <c r="B27" s="201"/>
      <c r="C27" s="202" t="s">
        <v>44</v>
      </c>
      <c r="D27" s="791" t="s">
        <v>813</v>
      </c>
      <c r="E27" s="791"/>
      <c r="F27" s="791"/>
      <c r="G27" s="791"/>
      <c r="H27" s="791"/>
      <c r="I27" s="791"/>
      <c r="J27" s="791"/>
      <c r="K27" s="791"/>
      <c r="L27" s="201"/>
    </row>
    <row r="28" spans="2:12" s="203" customFormat="1" ht="21.75" customHeight="1">
      <c r="B28" s="201"/>
      <c r="C28" s="202" t="s">
        <v>45</v>
      </c>
      <c r="D28" s="791" t="s">
        <v>814</v>
      </c>
      <c r="E28" s="791"/>
      <c r="F28" s="791"/>
      <c r="G28" s="791"/>
      <c r="H28" s="791"/>
      <c r="I28" s="791"/>
      <c r="J28" s="791"/>
      <c r="K28" s="791"/>
      <c r="L28" s="201"/>
    </row>
    <row r="29" spans="2:12" s="203" customFormat="1" ht="33" customHeight="1">
      <c r="B29" s="201"/>
      <c r="C29" s="202" t="s">
        <v>46</v>
      </c>
      <c r="D29" s="791" t="s">
        <v>815</v>
      </c>
      <c r="E29" s="791"/>
      <c r="F29" s="791"/>
      <c r="G29" s="791"/>
      <c r="H29" s="791"/>
      <c r="I29" s="791"/>
      <c r="J29" s="791"/>
      <c r="K29" s="791"/>
      <c r="L29" s="201"/>
    </row>
    <row r="30" spans="2:12" s="203" customFormat="1" ht="28.5" customHeight="1">
      <c r="B30" s="201"/>
      <c r="C30" s="202" t="s">
        <v>359</v>
      </c>
      <c r="D30" s="791" t="s">
        <v>393</v>
      </c>
      <c r="E30" s="791"/>
      <c r="F30" s="791"/>
      <c r="G30" s="791"/>
      <c r="H30" s="791"/>
      <c r="I30" s="791"/>
      <c r="J30" s="791"/>
      <c r="K30" s="791"/>
      <c r="L30" s="201"/>
    </row>
  </sheetData>
  <sheetProtection algorithmName="SHA-512" hashValue="qaI36ONR9MpupTyYxTM8PSf1uM/0v18wWfhYSJgDnXCNWkI+7toLsU8Q7jGt0Tw2iEx/bwe8LP2y5m7p1hqosw==" saltValue="25Pd7QAb94Ehnss1NRhoeQ==" spinCount="100000" sheet="1" objects="1" scenarios="1"/>
  <mergeCells count="14">
    <mergeCell ref="C4:K4"/>
    <mergeCell ref="D23:K23"/>
    <mergeCell ref="D25:K25"/>
    <mergeCell ref="E10:K14"/>
    <mergeCell ref="E18:K18"/>
    <mergeCell ref="E15:K17"/>
    <mergeCell ref="E9:K9"/>
    <mergeCell ref="E8:K8"/>
    <mergeCell ref="D30:K30"/>
    <mergeCell ref="D27:K27"/>
    <mergeCell ref="D29:K29"/>
    <mergeCell ref="D28:K28"/>
    <mergeCell ref="C5:K5"/>
    <mergeCell ref="D24:K24"/>
  </mergeCells>
  <pageMargins left="0.7" right="0.7" top="0.75" bottom="0.75" header="0.3" footer="0.3"/>
  <pageSetup paperSize="5" scale="84" orientation="landscape" r:id="rId1"/>
  <headerFooter>
    <oddFooter>&amp;L&amp;"Source Sans Pro,Regular"&amp;8© 2019 Fannie Mae. Trademarks of Fannie Mae.&amp;C&amp;"Source Sans Pro,Regular"&amp;8Form 4099.H - August 2019&amp;R&amp;"Source Sans Pro,Regular"&amp;8Page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autoPageBreaks="0"/>
  </sheetPr>
  <dimension ref="A1:U75"/>
  <sheetViews>
    <sheetView showGridLines="0" zoomScale="90" zoomScaleNormal="90" workbookViewId="0">
      <selection activeCell="G20" sqref="G20"/>
    </sheetView>
  </sheetViews>
  <sheetFormatPr defaultColWidth="9.28515625" defaultRowHeight="12"/>
  <cols>
    <col min="1" max="1" width="2.42578125" style="213" customWidth="1"/>
    <col min="2" max="2" width="18.5703125" style="213" customWidth="1"/>
    <col min="3" max="3" width="6.28515625" style="214" customWidth="1"/>
    <col min="4" max="4" width="5.5703125" style="214" customWidth="1"/>
    <col min="5" max="5" width="17.7109375" style="215" customWidth="1"/>
    <col min="6" max="7" width="17.5703125" style="215" customWidth="1"/>
    <col min="8" max="8" width="7.28515625" style="215" customWidth="1"/>
    <col min="9" max="9" width="14.28515625" style="213" customWidth="1"/>
    <col min="10" max="15" width="12.28515625" style="213" customWidth="1"/>
    <col min="16" max="18" width="12.28515625" style="213" hidden="1" customWidth="1"/>
    <col min="19" max="19" width="13" style="213" customWidth="1"/>
    <col min="20" max="20" width="12" style="213" customWidth="1"/>
    <col min="21" max="16384" width="9.28515625" style="213"/>
  </cols>
  <sheetData>
    <row r="1" spans="1:20" s="187" customFormat="1" ht="23.25" customHeight="1">
      <c r="A1" s="188"/>
      <c r="B1" s="185" t="s">
        <v>367</v>
      </c>
      <c r="C1" s="186"/>
      <c r="D1" s="186"/>
      <c r="E1" s="186"/>
      <c r="F1" s="186"/>
      <c r="G1" s="186"/>
      <c r="H1" s="186"/>
      <c r="I1" s="186"/>
      <c r="J1" s="186"/>
      <c r="K1" s="186"/>
      <c r="O1" s="207"/>
      <c r="P1" s="207"/>
      <c r="Q1" s="207"/>
      <c r="R1" s="207"/>
    </row>
    <row r="2" spans="1:20" s="188" customFormat="1" ht="40.5" customHeight="1">
      <c r="B2" s="208" t="s">
        <v>762</v>
      </c>
      <c r="I2" s="186"/>
    </row>
    <row r="3" spans="1:20" s="187" customFormat="1" ht="21" customHeight="1">
      <c r="A3" s="188"/>
      <c r="B3" s="209" t="s">
        <v>357</v>
      </c>
      <c r="C3" s="188"/>
      <c r="D3" s="188"/>
      <c r="E3" s="188"/>
      <c r="F3" s="188"/>
      <c r="G3" s="188"/>
      <c r="H3" s="188"/>
      <c r="I3" s="186"/>
    </row>
    <row r="4" spans="1:20" s="210" customFormat="1" ht="16.5" customHeight="1">
      <c r="B4" s="799" t="s">
        <v>474</v>
      </c>
      <c r="C4" s="799"/>
      <c r="D4" s="799"/>
      <c r="E4" s="799"/>
      <c r="F4" s="799"/>
      <c r="G4" s="799"/>
      <c r="H4" s="799"/>
      <c r="I4" s="799"/>
      <c r="J4" s="799"/>
      <c r="K4" s="799"/>
      <c r="L4" s="799"/>
      <c r="M4" s="799"/>
      <c r="N4" s="799"/>
      <c r="O4" s="799"/>
      <c r="P4" s="211"/>
      <c r="Q4" s="211"/>
      <c r="R4" s="211"/>
      <c r="S4" s="211"/>
      <c r="T4" s="211"/>
    </row>
    <row r="5" spans="1:20" s="210" customFormat="1" ht="34.15" customHeight="1">
      <c r="B5" s="798" t="s">
        <v>778</v>
      </c>
      <c r="C5" s="798"/>
      <c r="D5" s="798"/>
      <c r="E5" s="798"/>
      <c r="F5" s="798"/>
      <c r="G5" s="798"/>
      <c r="H5" s="798"/>
      <c r="I5" s="798"/>
      <c r="J5" s="798"/>
      <c r="K5" s="798"/>
      <c r="L5" s="798"/>
      <c r="M5" s="798"/>
      <c r="N5" s="798"/>
      <c r="O5" s="798"/>
      <c r="P5" s="212"/>
      <c r="Q5" s="212"/>
      <c r="R5" s="212"/>
      <c r="S5" s="212"/>
      <c r="T5" s="212"/>
    </row>
    <row r="6" spans="1:20" s="210" customFormat="1" ht="18.75" customHeight="1">
      <c r="B6" s="799" t="s">
        <v>504</v>
      </c>
      <c r="C6" s="799"/>
      <c r="D6" s="799"/>
      <c r="E6" s="799"/>
      <c r="F6" s="799"/>
      <c r="G6" s="799"/>
      <c r="H6" s="799"/>
      <c r="I6" s="799"/>
      <c r="J6" s="799"/>
      <c r="K6" s="799"/>
      <c r="L6" s="799"/>
      <c r="M6" s="799"/>
      <c r="N6" s="799"/>
      <c r="O6" s="799"/>
      <c r="P6" s="211"/>
      <c r="Q6" s="211"/>
      <c r="R6" s="211"/>
      <c r="S6" s="211"/>
      <c r="T6" s="211"/>
    </row>
    <row r="7" spans="1:20" s="210" customFormat="1" ht="18.75" customHeight="1">
      <c r="B7" s="799" t="s">
        <v>475</v>
      </c>
      <c r="C7" s="799"/>
      <c r="D7" s="799"/>
      <c r="E7" s="799"/>
      <c r="F7" s="799"/>
      <c r="G7" s="799"/>
      <c r="H7" s="799"/>
      <c r="I7" s="799"/>
      <c r="J7" s="799"/>
      <c r="K7" s="799"/>
      <c r="L7" s="799"/>
      <c r="M7" s="799"/>
      <c r="N7" s="799"/>
      <c r="O7" s="799"/>
      <c r="P7" s="211"/>
      <c r="Q7" s="211"/>
      <c r="R7" s="211"/>
      <c r="S7" s="211"/>
      <c r="T7" s="211"/>
    </row>
    <row r="8" spans="1:20" ht="21.75" customHeight="1">
      <c r="G8" s="213"/>
      <c r="H8" s="213"/>
    </row>
    <row r="9" spans="1:20" ht="18.75" thickBot="1">
      <c r="B9" s="216" t="s">
        <v>362</v>
      </c>
      <c r="C9" s="217"/>
      <c r="D9" s="217"/>
      <c r="E9" s="218"/>
      <c r="F9" s="218"/>
      <c r="G9" s="219"/>
      <c r="H9" s="219"/>
      <c r="I9" s="219"/>
      <c r="J9" s="219"/>
      <c r="K9" s="219"/>
      <c r="L9" s="219"/>
      <c r="M9" s="219"/>
      <c r="N9" s="219"/>
      <c r="O9" s="219"/>
      <c r="P9" s="219"/>
      <c r="Q9" s="219"/>
      <c r="R9" s="219"/>
      <c r="S9" s="219"/>
      <c r="T9" s="219"/>
    </row>
    <row r="10" spans="1:20" s="220" customFormat="1" ht="9.75" customHeight="1">
      <c r="C10" s="221"/>
      <c r="D10" s="222"/>
    </row>
    <row r="11" spans="1:20" s="220" customFormat="1" ht="19.5" customHeight="1">
      <c r="D11" s="223" t="s">
        <v>310</v>
      </c>
      <c r="E11" s="829"/>
      <c r="F11" s="830"/>
      <c r="G11" s="831"/>
      <c r="H11" s="812" t="str">
        <f>IF(E11="OTHER", "(ENTER LENDER NAME)","")</f>
        <v/>
      </c>
      <c r="I11" s="813"/>
      <c r="J11" s="813"/>
    </row>
    <row r="12" spans="1:20" ht="9" customHeight="1">
      <c r="D12" s="224"/>
      <c r="E12" s="213"/>
      <c r="F12" s="213"/>
      <c r="G12" s="213"/>
      <c r="H12" s="213"/>
    </row>
    <row r="13" spans="1:20" ht="20.100000000000001" customHeight="1">
      <c r="D13" s="225" t="s">
        <v>352</v>
      </c>
      <c r="E13" s="226"/>
      <c r="F13" s="227" t="str">
        <f>IFERROR(" → "&amp;VLOOKUP(E13,Dropdowns!J3:K5,2,FALSE),"")</f>
        <v/>
      </c>
      <c r="G13" s="213"/>
      <c r="H13" s="213"/>
    </row>
    <row r="14" spans="1:20" ht="9" customHeight="1">
      <c r="D14" s="224"/>
      <c r="E14" s="213"/>
      <c r="F14" s="213"/>
      <c r="G14" s="213"/>
      <c r="H14" s="213"/>
    </row>
    <row r="15" spans="1:20" ht="20.100000000000001" customHeight="1">
      <c r="D15" s="225" t="s">
        <v>356</v>
      </c>
      <c r="E15" s="832"/>
      <c r="F15" s="831"/>
      <c r="G15" s="225" t="s">
        <v>369</v>
      </c>
      <c r="H15" s="827"/>
      <c r="I15" s="828"/>
    </row>
    <row r="16" spans="1:20" ht="20.100000000000001" customHeight="1">
      <c r="F16" s="213"/>
      <c r="G16" s="213"/>
      <c r="H16" s="213"/>
    </row>
    <row r="17" spans="2:20" ht="18.75" thickBot="1">
      <c r="B17" s="216" t="s">
        <v>763</v>
      </c>
      <c r="C17" s="217"/>
      <c r="D17" s="217"/>
      <c r="E17" s="218"/>
      <c r="F17" s="218"/>
      <c r="G17" s="219"/>
      <c r="H17" s="219"/>
      <c r="I17" s="219"/>
      <c r="J17" s="219"/>
      <c r="K17" s="219"/>
      <c r="L17" s="219"/>
      <c r="M17" s="219"/>
      <c r="N17" s="219"/>
      <c r="O17" s="219"/>
      <c r="P17" s="219"/>
      <c r="Q17" s="219"/>
      <c r="R17" s="219"/>
      <c r="S17" s="219"/>
      <c r="T17" s="219"/>
    </row>
    <row r="18" spans="2:20">
      <c r="D18" s="213"/>
      <c r="E18" s="213"/>
      <c r="F18" s="213"/>
      <c r="G18" s="213"/>
      <c r="H18" s="213"/>
    </row>
    <row r="19" spans="2:20" ht="20.100000000000001" customHeight="1">
      <c r="D19" s="225" t="s">
        <v>70</v>
      </c>
      <c r="E19" s="228">
        <f>S73</f>
        <v>0</v>
      </c>
      <c r="F19" s="213"/>
      <c r="G19" s="213"/>
      <c r="H19" s="213"/>
    </row>
    <row r="20" spans="2:20" ht="20.100000000000001" customHeight="1">
      <c r="D20" s="225" t="s">
        <v>22</v>
      </c>
      <c r="E20" s="229">
        <f>T73</f>
        <v>0</v>
      </c>
      <c r="F20" s="213"/>
      <c r="G20" s="213"/>
      <c r="H20" s="213"/>
    </row>
    <row r="21" spans="2:20" ht="20.100000000000001" customHeight="1">
      <c r="D21" s="230" t="s">
        <v>777</v>
      </c>
      <c r="E21" s="231">
        <f>E19+E20</f>
        <v>0</v>
      </c>
      <c r="F21" s="213"/>
      <c r="G21" s="213"/>
      <c r="H21" s="213"/>
    </row>
    <row r="22" spans="2:20">
      <c r="D22" s="232"/>
      <c r="E22" s="233"/>
      <c r="F22" s="213"/>
      <c r="G22" s="213"/>
      <c r="H22" s="213"/>
    </row>
    <row r="23" spans="2:20" ht="20.100000000000001" customHeight="1">
      <c r="D23" s="225" t="s">
        <v>316</v>
      </c>
      <c r="E23" s="234">
        <f>I73</f>
        <v>0</v>
      </c>
      <c r="F23" s="213"/>
      <c r="G23" s="213"/>
      <c r="H23" s="213"/>
    </row>
    <row r="24" spans="2:20">
      <c r="D24" s="235"/>
      <c r="E24" s="213"/>
      <c r="F24" s="213"/>
      <c r="G24" s="213"/>
      <c r="H24" s="213"/>
    </row>
    <row r="25" spans="2:20" ht="18.75" thickBot="1">
      <c r="B25" s="216" t="s">
        <v>466</v>
      </c>
      <c r="C25" s="236"/>
      <c r="D25" s="236"/>
      <c r="E25" s="219"/>
      <c r="F25" s="219"/>
      <c r="G25" s="219"/>
      <c r="H25" s="219"/>
      <c r="I25" s="219"/>
      <c r="J25" s="219"/>
      <c r="K25" s="219"/>
      <c r="L25" s="219"/>
      <c r="M25" s="219"/>
      <c r="N25" s="219"/>
      <c r="O25" s="219"/>
      <c r="P25" s="219"/>
      <c r="Q25" s="219"/>
      <c r="R25" s="219"/>
      <c r="S25" s="219"/>
      <c r="T25" s="219"/>
    </row>
    <row r="26" spans="2:20">
      <c r="D26" s="235"/>
      <c r="E26" s="213"/>
      <c r="F26" s="213"/>
      <c r="G26" s="213"/>
      <c r="H26" s="213"/>
    </row>
    <row r="27" spans="2:20" ht="16.149999999999999" customHeight="1">
      <c r="D27" s="235"/>
      <c r="E27" s="237" t="s">
        <v>243</v>
      </c>
      <c r="F27" s="238" t="s">
        <v>244</v>
      </c>
      <c r="G27" s="213"/>
      <c r="H27" s="213"/>
    </row>
    <row r="28" spans="2:20" ht="20.100000000000001" customHeight="1">
      <c r="D28" s="224" t="s">
        <v>456</v>
      </c>
      <c r="E28" s="239">
        <f>J73</f>
        <v>0</v>
      </c>
      <c r="F28" s="240">
        <f>M73</f>
        <v>0</v>
      </c>
      <c r="G28" s="213"/>
      <c r="H28" s="213"/>
    </row>
    <row r="29" spans="2:20" ht="20.100000000000001" customHeight="1">
      <c r="D29" s="241" t="s">
        <v>294</v>
      </c>
      <c r="E29" s="242">
        <v>0.75</v>
      </c>
      <c r="F29" s="243">
        <f>IF(OR('Input-Utilities'!E23="Model",'Input-Utilities'!E24="Model",'Input-Utilities'!E25="Model"), 0, 0.25)</f>
        <v>0.25</v>
      </c>
      <c r="G29" s="213"/>
      <c r="H29" s="213"/>
    </row>
    <row r="30" spans="2:20" ht="20.100000000000001" customHeight="1">
      <c r="B30" s="244"/>
      <c r="C30" s="245"/>
      <c r="D30" s="246" t="s">
        <v>467</v>
      </c>
      <c r="E30" s="247">
        <f>E28*E29</f>
        <v>0</v>
      </c>
      <c r="F30" s="248">
        <f>F28*F29</f>
        <v>0</v>
      </c>
      <c r="G30" s="213"/>
      <c r="H30" s="213"/>
    </row>
    <row r="31" spans="2:20" ht="20.100000000000001" customHeight="1">
      <c r="D31" s="224" t="s">
        <v>457</v>
      </c>
      <c r="E31" s="249">
        <f>K73</f>
        <v>0</v>
      </c>
      <c r="F31" s="250">
        <f>N73</f>
        <v>0</v>
      </c>
      <c r="G31" s="213"/>
      <c r="H31" s="213"/>
    </row>
    <row r="32" spans="2:20" ht="20.100000000000001" customHeight="1">
      <c r="D32" s="241" t="s">
        <v>294</v>
      </c>
      <c r="E32" s="242">
        <v>0.75</v>
      </c>
      <c r="F32" s="243">
        <f>IF('Input-Utilities'!E26="Model", 0, 0.25)</f>
        <v>0.25</v>
      </c>
      <c r="G32" s="213"/>
      <c r="H32" s="213"/>
    </row>
    <row r="33" spans="2:21" ht="20.100000000000001" customHeight="1">
      <c r="B33" s="244"/>
      <c r="C33" s="245"/>
      <c r="D33" s="246" t="s">
        <v>468</v>
      </c>
      <c r="E33" s="247">
        <f>E31*E32</f>
        <v>0</v>
      </c>
      <c r="F33" s="248">
        <f>F31*F32</f>
        <v>0</v>
      </c>
      <c r="G33" s="213"/>
      <c r="H33" s="213"/>
    </row>
    <row r="34" spans="2:21" ht="20.100000000000001" customHeight="1">
      <c r="D34" s="225" t="s">
        <v>469</v>
      </c>
      <c r="E34" s="251">
        <f>SUM(E30,E33)</f>
        <v>0</v>
      </c>
      <c r="F34" s="252">
        <f>SUM(F30,F33)</f>
        <v>0</v>
      </c>
      <c r="G34" s="213"/>
      <c r="H34" s="213"/>
    </row>
    <row r="35" spans="2:21" ht="20.100000000000001" customHeight="1">
      <c r="D35" s="225" t="s">
        <v>465</v>
      </c>
      <c r="E35" s="814">
        <f>SUM(E34:F34)</f>
        <v>0</v>
      </c>
      <c r="F35" s="815"/>
      <c r="G35" s="213"/>
      <c r="H35" s="213"/>
      <c r="I35" s="225" t="s">
        <v>610</v>
      </c>
      <c r="J35" s="253"/>
      <c r="K35" s="254" t="str">
        <f>IF(J35&gt;E35," → Actual Underwritten Cost Savings cannot be greater than the Total Allowable Cost Savings","")</f>
        <v/>
      </c>
    </row>
    <row r="36" spans="2:21" ht="20.100000000000001" customHeight="1">
      <c r="C36" s="213"/>
      <c r="D36" s="213"/>
    </row>
    <row r="37" spans="2:21" ht="23.25" customHeight="1" thickBot="1">
      <c r="B37" s="216" t="s">
        <v>764</v>
      </c>
      <c r="C37" s="219"/>
      <c r="D37" s="219"/>
      <c r="E37" s="219"/>
      <c r="F37" s="219"/>
      <c r="G37" s="219"/>
      <c r="H37" s="219"/>
      <c r="I37" s="219"/>
      <c r="J37" s="219"/>
      <c r="K37" s="219"/>
      <c r="L37" s="219"/>
      <c r="M37" s="219"/>
      <c r="N37" s="219"/>
      <c r="O37" s="219"/>
      <c r="P37" s="219"/>
      <c r="Q37" s="219"/>
      <c r="R37" s="219"/>
      <c r="S37" s="219"/>
      <c r="T37" s="219"/>
    </row>
    <row r="38" spans="2:21" ht="15" customHeight="1">
      <c r="C38" s="255"/>
      <c r="D38" s="255"/>
      <c r="E38" s="256"/>
      <c r="F38" s="256"/>
      <c r="G38" s="256"/>
      <c r="H38" s="256"/>
      <c r="I38" s="256"/>
    </row>
    <row r="39" spans="2:21" s="210" customFormat="1" ht="19.5" customHeight="1">
      <c r="B39" s="803" t="s">
        <v>358</v>
      </c>
      <c r="C39" s="819" t="s">
        <v>315</v>
      </c>
      <c r="D39" s="820"/>
      <c r="E39" s="819" t="s">
        <v>765</v>
      </c>
      <c r="F39" s="823"/>
      <c r="G39" s="820"/>
      <c r="H39" s="825" t="s">
        <v>273</v>
      </c>
      <c r="I39" s="825" t="s">
        <v>276</v>
      </c>
      <c r="J39" s="816" t="s">
        <v>274</v>
      </c>
      <c r="K39" s="817"/>
      <c r="L39" s="818"/>
      <c r="M39" s="816" t="s">
        <v>275</v>
      </c>
      <c r="N39" s="817"/>
      <c r="O39" s="818"/>
      <c r="P39" s="237" t="s">
        <v>718</v>
      </c>
      <c r="Q39" s="257" t="s">
        <v>719</v>
      </c>
      <c r="R39" s="238" t="s">
        <v>720</v>
      </c>
      <c r="S39" s="808" t="s">
        <v>70</v>
      </c>
      <c r="T39" s="810" t="s">
        <v>22</v>
      </c>
      <c r="U39" s="213"/>
    </row>
    <row r="40" spans="2:21" s="210" customFormat="1" ht="15" customHeight="1">
      <c r="B40" s="804"/>
      <c r="C40" s="821"/>
      <c r="D40" s="822"/>
      <c r="E40" s="821"/>
      <c r="F40" s="824"/>
      <c r="G40" s="822"/>
      <c r="H40" s="826"/>
      <c r="I40" s="826"/>
      <c r="J40" s="237" t="s">
        <v>437</v>
      </c>
      <c r="K40" s="257" t="s">
        <v>4</v>
      </c>
      <c r="L40" s="238" t="s">
        <v>465</v>
      </c>
      <c r="M40" s="258" t="s">
        <v>437</v>
      </c>
      <c r="N40" s="257" t="s">
        <v>4</v>
      </c>
      <c r="O40" s="238" t="s">
        <v>465</v>
      </c>
      <c r="P40" s="259" t="s">
        <v>577</v>
      </c>
      <c r="Q40" s="260" t="s">
        <v>577</v>
      </c>
      <c r="R40" s="261" t="s">
        <v>578</v>
      </c>
      <c r="S40" s="809"/>
      <c r="T40" s="811"/>
      <c r="U40" s="213"/>
    </row>
    <row r="41" spans="2:21" s="210" customFormat="1" ht="36" customHeight="1">
      <c r="B41" s="262"/>
      <c r="C41" s="263">
        <v>1</v>
      </c>
      <c r="D41" s="264" t="str">
        <f>IF(IFERROR(MATCH($C41, 'Input-EWEMs'!$C$52:$C$61, 0),0)&gt;0,"adj.","")</f>
        <v/>
      </c>
      <c r="E41" s="805" t="str">
        <f>IF('Input-EWEMs'!F12="", "", IFERROR(INDEX('Input-EWEMs'!$F$52:$F$61, MATCH($C41, 'Input-EWEMs'!$C$52:$C$61, 0)),'Input-EWEMs'!F12))</f>
        <v/>
      </c>
      <c r="F41" s="806"/>
      <c r="G41" s="807"/>
      <c r="H41" s="265" t="str">
        <f>IF('Input-EWEMs'!K12="", "", IFERROR(INDEX('Input-EWEMs'!H$52:H$61, MATCH($C41, 'Input-EWEMs'!$C$52:$C$61, 0)),'Input-EWEMs'!H12))</f>
        <v/>
      </c>
      <c r="I41" s="266" t="str">
        <f>IF('Input-EWEMs'!K12="", "", IFERROR(INDEX('Input-EWEMs'!K$52:K$61, MATCH($C41, 'Input-EWEMs'!$C$52:$C$61, 0)),'Input-EWEMs'!K12))</f>
        <v/>
      </c>
      <c r="J41" s="267" t="str">
        <f>IF('Input-EWEMs'!L12="", "", IFERROR(INDEX('Input-EWEMs'!L$52:L$61, MATCH($C41, 'Input-EWEMs'!$C$52:$C$61, 0)),'Input-EWEMs'!L12))</f>
        <v/>
      </c>
      <c r="K41" s="268" t="str">
        <f>IF('Input-EWEMs'!M12="", "", IFERROR(INDEX('Input-EWEMs'!M$52:M$61, MATCH($C41, 'Input-EWEMs'!$C$52:$C$61, 0)),'Input-EWEMs'!M12))</f>
        <v/>
      </c>
      <c r="L41" s="269" t="str">
        <f>IF('Input-EWEMs'!N12="", "", IFERROR(INDEX('Input-EWEMs'!N$52:N$61, MATCH($C41, 'Input-EWEMs'!$C$52:$C$61, 0)),'Input-EWEMs'!N12))</f>
        <v/>
      </c>
      <c r="M41" s="270" t="str">
        <f>IF('Input-EWEMs'!O12="", "", IFERROR(INDEX('Input-EWEMs'!O$52:O$61, MATCH($C41, 'Input-EWEMs'!$C$52:$C$61, 0)),'Input-EWEMs'!O12))</f>
        <v/>
      </c>
      <c r="N41" s="268" t="str">
        <f>IF('Input-EWEMs'!P12="", "", IFERROR(INDEX('Input-EWEMs'!P$52:P$61, MATCH($C41, 'Input-EWEMs'!$C$52:$C$61, 0)),'Input-EWEMs'!P12))</f>
        <v/>
      </c>
      <c r="O41" s="271" t="str">
        <f>IF('Input-EWEMs'!Q12="", "", IFERROR(INDEX('Input-EWEMs'!Q$52:Q$61, MATCH($C41, 'Input-EWEMs'!$C$52:$C$61, 0)),'Input-EWEMs'!Q12))</f>
        <v/>
      </c>
      <c r="P41" s="272">
        <f>IF('Input-EWEMs'!AB12="", "", IFERROR(INDEX('Input-EWEMs'!AB$52:AB$61, MATCH($C41, 'Input-EWEMs'!$C$52:$C$61, 0)),'Input-EWEMs'!AB12))</f>
        <v>0</v>
      </c>
      <c r="Q41" s="273">
        <f>IF('Input-EWEMs'!AC12="", "", IFERROR(INDEX('Input-EWEMs'!AC$52:AC$61, MATCH($C41, 'Input-EWEMs'!$C$52:$C$61, 0)),'Input-EWEMs'!AC12))</f>
        <v>0</v>
      </c>
      <c r="R41" s="274" t="str">
        <f>IF('Input-EWEMs'!AD12="", "", IFERROR(INDEX('Input-EWEMs'!AD$52:AD$61, MATCH($C41, 'Input-EWEMs'!$C$52:$C$61, 0)),'Input-EWEMs'!AD12))</f>
        <v/>
      </c>
      <c r="S41" s="275" t="str">
        <f>IF('Input-EWEMs'!AF12="", "", IFERROR(INDEX('Input-EWEMs'!AF$52:AF$61, MATCH($C41, 'Input-EWEMs'!$C$52:$C$61, 0)),'Input-EWEMs'!AF12))</f>
        <v/>
      </c>
      <c r="T41" s="276" t="str">
        <f>IF('Input-EWEMs'!AG12="", "", IFERROR(INDEX('Input-EWEMs'!AG$52:AG$61, MATCH($C41, 'Input-EWEMs'!$C$52:$C$61, 0)),'Input-EWEMs'!AG12))</f>
        <v/>
      </c>
      <c r="U41" s="213"/>
    </row>
    <row r="42" spans="2:21" s="210" customFormat="1" ht="36" customHeight="1">
      <c r="B42" s="262"/>
      <c r="C42" s="277">
        <v>2</v>
      </c>
      <c r="D42" s="278" t="str">
        <f>IF(IFERROR(MATCH($C42, 'Input-EWEMs'!$C$52:$C$61, 0),0)&gt;0,"adj.","")</f>
        <v/>
      </c>
      <c r="E42" s="800" t="str">
        <f>IF('Input-EWEMs'!F13="", "", IFERROR(INDEX('Input-EWEMs'!$F$52:$F$61, MATCH($C42, 'Input-EWEMs'!$C$52:$C$61, 0)),'Input-EWEMs'!F13))</f>
        <v/>
      </c>
      <c r="F42" s="801"/>
      <c r="G42" s="802"/>
      <c r="H42" s="265" t="str">
        <f>IF('Input-EWEMs'!K13="", "", IFERROR(INDEX('Input-EWEMs'!H$52:H$61, MATCH($C42, 'Input-EWEMs'!$C$52:$C$61, 0)),'Input-EWEMs'!H13))</f>
        <v/>
      </c>
      <c r="I42" s="266" t="str">
        <f>IF('Input-EWEMs'!K13="", "", IFERROR(INDEX('Input-EWEMs'!K$52:K$61, MATCH($C42, 'Input-EWEMs'!$C$52:$C$61, 0)),'Input-EWEMs'!K13))</f>
        <v/>
      </c>
      <c r="J42" s="267" t="str">
        <f>IF('Input-EWEMs'!L13="", "", IFERROR(INDEX('Input-EWEMs'!L$52:L$61, MATCH($C42, 'Input-EWEMs'!$C$52:$C$61, 0)),'Input-EWEMs'!L13))</f>
        <v/>
      </c>
      <c r="K42" s="268" t="str">
        <f>IF('Input-EWEMs'!M13="", "", IFERROR(INDEX('Input-EWEMs'!M$52:M$61, MATCH($C42, 'Input-EWEMs'!$C$52:$C$61, 0)),'Input-EWEMs'!M13))</f>
        <v/>
      </c>
      <c r="L42" s="271" t="str">
        <f>IF('Input-EWEMs'!N13="", "", IFERROR(INDEX('Input-EWEMs'!N$52:N$61, MATCH($C42, 'Input-EWEMs'!$C$52:$C$61, 0)),'Input-EWEMs'!N13))</f>
        <v/>
      </c>
      <c r="M42" s="270" t="str">
        <f>IF('Input-EWEMs'!O13="", "", IFERROR(INDEX('Input-EWEMs'!O$52:O$61, MATCH($C42, 'Input-EWEMs'!$C$52:$C$61, 0)),'Input-EWEMs'!O13))</f>
        <v/>
      </c>
      <c r="N42" s="268" t="str">
        <f>IF('Input-EWEMs'!P13="", "", IFERROR(INDEX('Input-EWEMs'!P$52:P$61, MATCH($C42, 'Input-EWEMs'!$C$52:$C$61, 0)),'Input-EWEMs'!P13))</f>
        <v/>
      </c>
      <c r="O42" s="271" t="str">
        <f>IF('Input-EWEMs'!Q13="", "", IFERROR(INDEX('Input-EWEMs'!Q$52:Q$61, MATCH($C42, 'Input-EWEMs'!$C$52:$C$61, 0)),'Input-EWEMs'!Q13))</f>
        <v/>
      </c>
      <c r="P42" s="272">
        <f>IF('Input-EWEMs'!AB13="", "", IFERROR(INDEX('Input-EWEMs'!AB$52:AB$61, MATCH($C42, 'Input-EWEMs'!$C$52:$C$61, 0)),'Input-EWEMs'!AB13))</f>
        <v>0</v>
      </c>
      <c r="Q42" s="273">
        <f>IF('Input-EWEMs'!AC13="", "", IFERROR(INDEX('Input-EWEMs'!AC$52:AC$61, MATCH($C42, 'Input-EWEMs'!$C$52:$C$61, 0)),'Input-EWEMs'!AC13))</f>
        <v>0</v>
      </c>
      <c r="R42" s="274" t="str">
        <f>IF('Input-EWEMs'!AD13="", "", IFERROR(INDEX('Input-EWEMs'!AD$52:AD$61, MATCH($C42, 'Input-EWEMs'!$C$52:$C$61, 0)),'Input-EWEMs'!AD13))</f>
        <v/>
      </c>
      <c r="S42" s="275" t="str">
        <f>IF('Input-EWEMs'!AF13="", "", IFERROR(INDEX('Input-EWEMs'!AF$52:AF$61, MATCH($C42, 'Input-EWEMs'!$C$52:$C$61, 0)),'Input-EWEMs'!AF13))</f>
        <v/>
      </c>
      <c r="T42" s="276" t="str">
        <f>IF('Input-EWEMs'!AG13="", "", IFERROR(INDEX('Input-EWEMs'!AG$52:AG$61, MATCH($C42, 'Input-EWEMs'!$C$52:$C$61, 0)),'Input-EWEMs'!AG13))</f>
        <v/>
      </c>
    </row>
    <row r="43" spans="2:21" s="210" customFormat="1" ht="36" customHeight="1">
      <c r="B43" s="262"/>
      <c r="C43" s="277">
        <v>3</v>
      </c>
      <c r="D43" s="278" t="str">
        <f>IF(IFERROR(MATCH($C43, 'Input-EWEMs'!$C$52:$C$61, 0),0)&gt;0,"adj.","")</f>
        <v/>
      </c>
      <c r="E43" s="800" t="str">
        <f>IF('Input-EWEMs'!F14="", "", IFERROR(INDEX('Input-EWEMs'!$F$52:$F$61, MATCH($C43, 'Input-EWEMs'!$C$52:$C$61, 0)),'Input-EWEMs'!F14))</f>
        <v/>
      </c>
      <c r="F43" s="801"/>
      <c r="G43" s="802"/>
      <c r="H43" s="265" t="str">
        <f>IF('Input-EWEMs'!K14="", "", IFERROR(INDEX('Input-EWEMs'!H$52:H$61, MATCH($C43, 'Input-EWEMs'!$C$52:$C$61, 0)),'Input-EWEMs'!H14))</f>
        <v/>
      </c>
      <c r="I43" s="266" t="str">
        <f>IF('Input-EWEMs'!K14="", "", IFERROR(INDEX('Input-EWEMs'!K$52:K$61, MATCH($C43, 'Input-EWEMs'!$C$52:$C$61, 0)),'Input-EWEMs'!K14))</f>
        <v/>
      </c>
      <c r="J43" s="267" t="str">
        <f>IF('Input-EWEMs'!L14="", "", IFERROR(INDEX('Input-EWEMs'!L$52:L$61, MATCH($C43, 'Input-EWEMs'!$C$52:$C$61, 0)),'Input-EWEMs'!L14))</f>
        <v/>
      </c>
      <c r="K43" s="268" t="str">
        <f>IF('Input-EWEMs'!M14="", "", IFERROR(INDEX('Input-EWEMs'!M$52:M$61, MATCH($C43, 'Input-EWEMs'!$C$52:$C$61, 0)),'Input-EWEMs'!M14))</f>
        <v/>
      </c>
      <c r="L43" s="271" t="str">
        <f>IF('Input-EWEMs'!N14="", "", IFERROR(INDEX('Input-EWEMs'!N$52:N$61, MATCH($C43, 'Input-EWEMs'!$C$52:$C$61, 0)),'Input-EWEMs'!N14))</f>
        <v/>
      </c>
      <c r="M43" s="270" t="str">
        <f>IF('Input-EWEMs'!O14="", "", IFERROR(INDEX('Input-EWEMs'!O$52:O$61, MATCH($C43, 'Input-EWEMs'!$C$52:$C$61, 0)),'Input-EWEMs'!O14))</f>
        <v/>
      </c>
      <c r="N43" s="268" t="str">
        <f>IF('Input-EWEMs'!P14="", "", IFERROR(INDEX('Input-EWEMs'!P$52:P$61, MATCH($C43, 'Input-EWEMs'!$C$52:$C$61, 0)),'Input-EWEMs'!P14))</f>
        <v/>
      </c>
      <c r="O43" s="271" t="str">
        <f>IF('Input-EWEMs'!Q14="", "", IFERROR(INDEX('Input-EWEMs'!Q$52:Q$61, MATCH($C43, 'Input-EWEMs'!$C$52:$C$61, 0)),'Input-EWEMs'!Q14))</f>
        <v/>
      </c>
      <c r="P43" s="272">
        <f>IF('Input-EWEMs'!AB14="", "", IFERROR(INDEX('Input-EWEMs'!AB$52:AB$61, MATCH($C43, 'Input-EWEMs'!$C$52:$C$61, 0)),'Input-EWEMs'!AB14))</f>
        <v>0</v>
      </c>
      <c r="Q43" s="273">
        <f>IF('Input-EWEMs'!AC14="", "", IFERROR(INDEX('Input-EWEMs'!AC$52:AC$61, MATCH($C43, 'Input-EWEMs'!$C$52:$C$61, 0)),'Input-EWEMs'!AC14))</f>
        <v>0</v>
      </c>
      <c r="R43" s="274" t="str">
        <f>IF('Input-EWEMs'!AD14="", "", IFERROR(INDEX('Input-EWEMs'!AD$52:AD$61, MATCH($C43, 'Input-EWEMs'!$C$52:$C$61, 0)),'Input-EWEMs'!AD14))</f>
        <v/>
      </c>
      <c r="S43" s="275" t="str">
        <f>IF('Input-EWEMs'!AF14="", "", IFERROR(INDEX('Input-EWEMs'!AF$52:AF$61, MATCH($C43, 'Input-EWEMs'!$C$52:$C$61, 0)),'Input-EWEMs'!AF14))</f>
        <v/>
      </c>
      <c r="T43" s="276" t="str">
        <f>IF('Input-EWEMs'!AG14="", "", IFERROR(INDEX('Input-EWEMs'!AG$52:AG$61, MATCH($C43, 'Input-EWEMs'!$C$52:$C$61, 0)),'Input-EWEMs'!AG14))</f>
        <v/>
      </c>
    </row>
    <row r="44" spans="2:21" s="210" customFormat="1" ht="36" customHeight="1">
      <c r="B44" s="262"/>
      <c r="C44" s="277">
        <v>4</v>
      </c>
      <c r="D44" s="278" t="str">
        <f>IF(IFERROR(MATCH($C44, 'Input-EWEMs'!$C$52:$C$61, 0),0)&gt;0,"adj.","")</f>
        <v/>
      </c>
      <c r="E44" s="800" t="str">
        <f>IF('Input-EWEMs'!F15="", "", IFERROR(INDEX('Input-EWEMs'!$F$52:$F$61, MATCH($C44, 'Input-EWEMs'!$C$52:$C$61, 0)),'Input-EWEMs'!F15))</f>
        <v/>
      </c>
      <c r="F44" s="801"/>
      <c r="G44" s="802"/>
      <c r="H44" s="265" t="str">
        <f>IF('Input-EWEMs'!K15="", "", IFERROR(INDEX('Input-EWEMs'!H$52:H$61, MATCH($C44, 'Input-EWEMs'!$C$52:$C$61, 0)),'Input-EWEMs'!H15))</f>
        <v/>
      </c>
      <c r="I44" s="266" t="str">
        <f>IF('Input-EWEMs'!K15="", "", IFERROR(INDEX('Input-EWEMs'!K$52:K$61, MATCH($C44, 'Input-EWEMs'!$C$52:$C$61, 0)),'Input-EWEMs'!K15))</f>
        <v/>
      </c>
      <c r="J44" s="267" t="str">
        <f>IF('Input-EWEMs'!L15="", "", IFERROR(INDEX('Input-EWEMs'!L$52:L$61, MATCH($C44, 'Input-EWEMs'!$C$52:$C$61, 0)),'Input-EWEMs'!L15))</f>
        <v/>
      </c>
      <c r="K44" s="268" t="str">
        <f>IF('Input-EWEMs'!M15="", "", IFERROR(INDEX('Input-EWEMs'!M$52:M$61, MATCH($C44, 'Input-EWEMs'!$C$52:$C$61, 0)),'Input-EWEMs'!M15))</f>
        <v/>
      </c>
      <c r="L44" s="271" t="str">
        <f>IF('Input-EWEMs'!N15="", "", IFERROR(INDEX('Input-EWEMs'!N$52:N$61, MATCH($C44, 'Input-EWEMs'!$C$52:$C$61, 0)),'Input-EWEMs'!N15))</f>
        <v/>
      </c>
      <c r="M44" s="270" t="str">
        <f>IF('Input-EWEMs'!O15="", "", IFERROR(INDEX('Input-EWEMs'!O$52:O$61, MATCH($C44, 'Input-EWEMs'!$C$52:$C$61, 0)),'Input-EWEMs'!O15))</f>
        <v/>
      </c>
      <c r="N44" s="268" t="str">
        <f>IF('Input-EWEMs'!P15="", "", IFERROR(INDEX('Input-EWEMs'!P$52:P$61, MATCH($C44, 'Input-EWEMs'!$C$52:$C$61, 0)),'Input-EWEMs'!P15))</f>
        <v/>
      </c>
      <c r="O44" s="271" t="str">
        <f>IF('Input-EWEMs'!Q15="", "", IFERROR(INDEX('Input-EWEMs'!Q$52:Q$61, MATCH($C44, 'Input-EWEMs'!$C$52:$C$61, 0)),'Input-EWEMs'!Q15))</f>
        <v/>
      </c>
      <c r="P44" s="272">
        <f>IF('Input-EWEMs'!AB15="", "", IFERROR(INDEX('Input-EWEMs'!AB$52:AB$61, MATCH($C44, 'Input-EWEMs'!$C$52:$C$61, 0)),'Input-EWEMs'!AB15))</f>
        <v>0</v>
      </c>
      <c r="Q44" s="273">
        <f>IF('Input-EWEMs'!AC15="", "", IFERROR(INDEX('Input-EWEMs'!AC$52:AC$61, MATCH($C44, 'Input-EWEMs'!$C$52:$C$61, 0)),'Input-EWEMs'!AC15))</f>
        <v>0</v>
      </c>
      <c r="R44" s="274" t="str">
        <f>IF('Input-EWEMs'!AD15="", "", IFERROR(INDEX('Input-EWEMs'!AD$52:AD$61, MATCH($C44, 'Input-EWEMs'!$C$52:$C$61, 0)),'Input-EWEMs'!AD15))</f>
        <v/>
      </c>
      <c r="S44" s="275" t="str">
        <f>IF('Input-EWEMs'!AF15="", "", IFERROR(INDEX('Input-EWEMs'!AF$52:AF$61, MATCH($C44, 'Input-EWEMs'!$C$52:$C$61, 0)),'Input-EWEMs'!AF15))</f>
        <v/>
      </c>
      <c r="T44" s="276" t="str">
        <f>IF('Input-EWEMs'!AG15="", "", IFERROR(INDEX('Input-EWEMs'!AG$52:AG$61, MATCH($C44, 'Input-EWEMs'!$C$52:$C$61, 0)),'Input-EWEMs'!AG15))</f>
        <v/>
      </c>
    </row>
    <row r="45" spans="2:21" s="210" customFormat="1" ht="36" customHeight="1">
      <c r="B45" s="262"/>
      <c r="C45" s="277">
        <v>5</v>
      </c>
      <c r="D45" s="278" t="str">
        <f>IF(IFERROR(MATCH($C45, 'Input-EWEMs'!$C$52:$C$61, 0),0)&gt;0,"adj.","")</f>
        <v/>
      </c>
      <c r="E45" s="800" t="str">
        <f>IF('Input-EWEMs'!F16="", "", IFERROR(INDEX('Input-EWEMs'!$F$52:$F$61, MATCH($C45, 'Input-EWEMs'!$C$52:$C$61, 0)),'Input-EWEMs'!F16))</f>
        <v/>
      </c>
      <c r="F45" s="801"/>
      <c r="G45" s="802"/>
      <c r="H45" s="265" t="str">
        <f>IF('Input-EWEMs'!K16="", "", IFERROR(INDEX('Input-EWEMs'!H$52:H$61, MATCH($C45, 'Input-EWEMs'!$C$52:$C$61, 0)),'Input-EWEMs'!H16))</f>
        <v/>
      </c>
      <c r="I45" s="266" t="str">
        <f>IF('Input-EWEMs'!K16="", "", IFERROR(INDEX('Input-EWEMs'!K$52:K$61, MATCH($C45, 'Input-EWEMs'!$C$52:$C$61, 0)),'Input-EWEMs'!K16))</f>
        <v/>
      </c>
      <c r="J45" s="267" t="str">
        <f>IF('Input-EWEMs'!L16="", "", IFERROR(INDEX('Input-EWEMs'!L$52:L$61, MATCH($C45, 'Input-EWEMs'!$C$52:$C$61, 0)),'Input-EWEMs'!L16))</f>
        <v/>
      </c>
      <c r="K45" s="268" t="str">
        <f>IF('Input-EWEMs'!M16="", "", IFERROR(INDEX('Input-EWEMs'!M$52:M$61, MATCH($C45, 'Input-EWEMs'!$C$52:$C$61, 0)),'Input-EWEMs'!M16))</f>
        <v/>
      </c>
      <c r="L45" s="271" t="str">
        <f>IF('Input-EWEMs'!N16="", "", IFERROR(INDEX('Input-EWEMs'!N$52:N$61, MATCH($C45, 'Input-EWEMs'!$C$52:$C$61, 0)),'Input-EWEMs'!N16))</f>
        <v/>
      </c>
      <c r="M45" s="270" t="str">
        <f>IF('Input-EWEMs'!O16="", "", IFERROR(INDEX('Input-EWEMs'!O$52:O$61, MATCH($C45, 'Input-EWEMs'!$C$52:$C$61, 0)),'Input-EWEMs'!O16))</f>
        <v/>
      </c>
      <c r="N45" s="268" t="str">
        <f>IF('Input-EWEMs'!P16="", "", IFERROR(INDEX('Input-EWEMs'!P$52:P$61, MATCH($C45, 'Input-EWEMs'!$C$52:$C$61, 0)),'Input-EWEMs'!P16))</f>
        <v/>
      </c>
      <c r="O45" s="271" t="str">
        <f>IF('Input-EWEMs'!Q16="", "", IFERROR(INDEX('Input-EWEMs'!Q$52:Q$61, MATCH($C45, 'Input-EWEMs'!$C$52:$C$61, 0)),'Input-EWEMs'!Q16))</f>
        <v/>
      </c>
      <c r="P45" s="272">
        <f>IF('Input-EWEMs'!AB16="", "", IFERROR(INDEX('Input-EWEMs'!AB$52:AB$61, MATCH($C45, 'Input-EWEMs'!$C$52:$C$61, 0)),'Input-EWEMs'!AB16))</f>
        <v>0</v>
      </c>
      <c r="Q45" s="273">
        <f>IF('Input-EWEMs'!AC16="", "", IFERROR(INDEX('Input-EWEMs'!AC$52:AC$61, MATCH($C45, 'Input-EWEMs'!$C$52:$C$61, 0)),'Input-EWEMs'!AC16))</f>
        <v>0</v>
      </c>
      <c r="R45" s="274" t="str">
        <f>IF('Input-EWEMs'!AD16="", "", IFERROR(INDEX('Input-EWEMs'!AD$52:AD$61, MATCH($C45, 'Input-EWEMs'!$C$52:$C$61, 0)),'Input-EWEMs'!AD16))</f>
        <v/>
      </c>
      <c r="S45" s="275" t="str">
        <f>IF('Input-EWEMs'!AF16="", "", IFERROR(INDEX('Input-EWEMs'!AF$52:AF$61, MATCH($C45, 'Input-EWEMs'!$C$52:$C$61, 0)),'Input-EWEMs'!AF16))</f>
        <v/>
      </c>
      <c r="T45" s="276" t="str">
        <f>IF('Input-EWEMs'!AG16="", "", IFERROR(INDEX('Input-EWEMs'!AG$52:AG$61, MATCH($C45, 'Input-EWEMs'!$C$52:$C$61, 0)),'Input-EWEMs'!AG16))</f>
        <v/>
      </c>
    </row>
    <row r="46" spans="2:21" s="210" customFormat="1" ht="36" customHeight="1">
      <c r="B46" s="262"/>
      <c r="C46" s="277">
        <v>6</v>
      </c>
      <c r="D46" s="278" t="str">
        <f>IF(IFERROR(MATCH($C46, 'Input-EWEMs'!$C$52:$C$61, 0),0)&gt;0,"adj.","")</f>
        <v/>
      </c>
      <c r="E46" s="800" t="str">
        <f>IF('Input-EWEMs'!F17="", "", IFERROR(INDEX('Input-EWEMs'!$F$52:$F$61, MATCH($C46, 'Input-EWEMs'!$C$52:$C$61, 0)),'Input-EWEMs'!F17))</f>
        <v/>
      </c>
      <c r="F46" s="801"/>
      <c r="G46" s="802"/>
      <c r="H46" s="265" t="str">
        <f>IF('Input-EWEMs'!K17="", "", IFERROR(INDEX('Input-EWEMs'!H$52:H$61, MATCH($C46, 'Input-EWEMs'!$C$52:$C$61, 0)),'Input-EWEMs'!H17))</f>
        <v/>
      </c>
      <c r="I46" s="266" t="str">
        <f>IF('Input-EWEMs'!K17="", "", IFERROR(INDEX('Input-EWEMs'!K$52:K$61, MATCH($C46, 'Input-EWEMs'!$C$52:$C$61, 0)),'Input-EWEMs'!K17))</f>
        <v/>
      </c>
      <c r="J46" s="267" t="str">
        <f>IF('Input-EWEMs'!L17="", "", IFERROR(INDEX('Input-EWEMs'!L$52:L$61, MATCH($C46, 'Input-EWEMs'!$C$52:$C$61, 0)),'Input-EWEMs'!L17))</f>
        <v/>
      </c>
      <c r="K46" s="268" t="str">
        <f>IF('Input-EWEMs'!M17="", "", IFERROR(INDEX('Input-EWEMs'!M$52:M$61, MATCH($C46, 'Input-EWEMs'!$C$52:$C$61, 0)),'Input-EWEMs'!M17))</f>
        <v/>
      </c>
      <c r="L46" s="271" t="str">
        <f>IF('Input-EWEMs'!N17="", "", IFERROR(INDEX('Input-EWEMs'!N$52:N$61, MATCH($C46, 'Input-EWEMs'!$C$52:$C$61, 0)),'Input-EWEMs'!N17))</f>
        <v/>
      </c>
      <c r="M46" s="270" t="str">
        <f>IF('Input-EWEMs'!O17="", "", IFERROR(INDEX('Input-EWEMs'!O$52:O$61, MATCH($C46, 'Input-EWEMs'!$C$52:$C$61, 0)),'Input-EWEMs'!O17))</f>
        <v/>
      </c>
      <c r="N46" s="268" t="str">
        <f>IF('Input-EWEMs'!P17="", "", IFERROR(INDEX('Input-EWEMs'!P$52:P$61, MATCH($C46, 'Input-EWEMs'!$C$52:$C$61, 0)),'Input-EWEMs'!P17))</f>
        <v/>
      </c>
      <c r="O46" s="271" t="str">
        <f>IF('Input-EWEMs'!Q17="", "", IFERROR(INDEX('Input-EWEMs'!Q$52:Q$61, MATCH($C46, 'Input-EWEMs'!$C$52:$C$61, 0)),'Input-EWEMs'!Q17))</f>
        <v/>
      </c>
      <c r="P46" s="272">
        <f>IF('Input-EWEMs'!AB17="", "", IFERROR(INDEX('Input-EWEMs'!AB$52:AB$61, MATCH($C46, 'Input-EWEMs'!$C$52:$C$61, 0)),'Input-EWEMs'!AB17))</f>
        <v>0</v>
      </c>
      <c r="Q46" s="273">
        <f>IF('Input-EWEMs'!AC17="", "", IFERROR(INDEX('Input-EWEMs'!AC$52:AC$61, MATCH($C46, 'Input-EWEMs'!$C$52:$C$61, 0)),'Input-EWEMs'!AC17))</f>
        <v>0</v>
      </c>
      <c r="R46" s="274" t="str">
        <f>IF('Input-EWEMs'!AD17="", "", IFERROR(INDEX('Input-EWEMs'!AD$52:AD$61, MATCH($C46, 'Input-EWEMs'!$C$52:$C$61, 0)),'Input-EWEMs'!AD17))</f>
        <v/>
      </c>
      <c r="S46" s="275" t="str">
        <f>IF('Input-EWEMs'!AF17="", "", IFERROR(INDEX('Input-EWEMs'!AF$52:AF$61, MATCH($C46, 'Input-EWEMs'!$C$52:$C$61, 0)),'Input-EWEMs'!AF17))</f>
        <v/>
      </c>
      <c r="T46" s="276" t="str">
        <f>IF('Input-EWEMs'!AG17="", "", IFERROR(INDEX('Input-EWEMs'!AG$52:AG$61, MATCH($C46, 'Input-EWEMs'!$C$52:$C$61, 0)),'Input-EWEMs'!AG17))</f>
        <v/>
      </c>
    </row>
    <row r="47" spans="2:21" s="210" customFormat="1" ht="36" customHeight="1">
      <c r="B47" s="262"/>
      <c r="C47" s="277">
        <v>7</v>
      </c>
      <c r="D47" s="278" t="str">
        <f>IF(IFERROR(MATCH($C47, 'Input-EWEMs'!$C$52:$C$61, 0),0)&gt;0,"adj.","")</f>
        <v/>
      </c>
      <c r="E47" s="800" t="str">
        <f>IF('Input-EWEMs'!F18="", "", IFERROR(INDEX('Input-EWEMs'!$F$52:$F$61, MATCH($C47, 'Input-EWEMs'!$C$52:$C$61, 0)),'Input-EWEMs'!F18))</f>
        <v/>
      </c>
      <c r="F47" s="801"/>
      <c r="G47" s="802"/>
      <c r="H47" s="265" t="str">
        <f>IF('Input-EWEMs'!K18="", "", IFERROR(INDEX('Input-EWEMs'!H$52:H$61, MATCH($C47, 'Input-EWEMs'!$C$52:$C$61, 0)),'Input-EWEMs'!H18))</f>
        <v/>
      </c>
      <c r="I47" s="266" t="str">
        <f>IF('Input-EWEMs'!K18="", "", IFERROR(INDEX('Input-EWEMs'!K$52:K$61, MATCH($C47, 'Input-EWEMs'!$C$52:$C$61, 0)),'Input-EWEMs'!K18))</f>
        <v/>
      </c>
      <c r="J47" s="267" t="str">
        <f>IF('Input-EWEMs'!L18="", "", IFERROR(INDEX('Input-EWEMs'!L$52:L$61, MATCH($C47, 'Input-EWEMs'!$C$52:$C$61, 0)),'Input-EWEMs'!L18))</f>
        <v/>
      </c>
      <c r="K47" s="268" t="str">
        <f>IF('Input-EWEMs'!M18="", "", IFERROR(INDEX('Input-EWEMs'!M$52:M$61, MATCH($C47, 'Input-EWEMs'!$C$52:$C$61, 0)),'Input-EWEMs'!M18))</f>
        <v/>
      </c>
      <c r="L47" s="271" t="str">
        <f>IF('Input-EWEMs'!N18="", "", IFERROR(INDEX('Input-EWEMs'!N$52:N$61, MATCH($C47, 'Input-EWEMs'!$C$52:$C$61, 0)),'Input-EWEMs'!N18))</f>
        <v/>
      </c>
      <c r="M47" s="270" t="str">
        <f>IF('Input-EWEMs'!O18="", "", IFERROR(INDEX('Input-EWEMs'!O$52:O$61, MATCH($C47, 'Input-EWEMs'!$C$52:$C$61, 0)),'Input-EWEMs'!O18))</f>
        <v/>
      </c>
      <c r="N47" s="268" t="str">
        <f>IF('Input-EWEMs'!P18="", "", IFERROR(INDEX('Input-EWEMs'!P$52:P$61, MATCH($C47, 'Input-EWEMs'!$C$52:$C$61, 0)),'Input-EWEMs'!P18))</f>
        <v/>
      </c>
      <c r="O47" s="271" t="str">
        <f>IF('Input-EWEMs'!Q18="", "", IFERROR(INDEX('Input-EWEMs'!Q$52:Q$61, MATCH($C47, 'Input-EWEMs'!$C$52:$C$61, 0)),'Input-EWEMs'!Q18))</f>
        <v/>
      </c>
      <c r="P47" s="272">
        <f>IF('Input-EWEMs'!AB18="", "", IFERROR(INDEX('Input-EWEMs'!AB$52:AB$61, MATCH($C47, 'Input-EWEMs'!$C$52:$C$61, 0)),'Input-EWEMs'!AB18))</f>
        <v>0</v>
      </c>
      <c r="Q47" s="273">
        <f>IF('Input-EWEMs'!AC18="", "", IFERROR(INDEX('Input-EWEMs'!AC$52:AC$61, MATCH($C47, 'Input-EWEMs'!$C$52:$C$61, 0)),'Input-EWEMs'!AC18))</f>
        <v>0</v>
      </c>
      <c r="R47" s="274" t="str">
        <f>IF('Input-EWEMs'!AD18="", "", IFERROR(INDEX('Input-EWEMs'!AD$52:AD$61, MATCH($C47, 'Input-EWEMs'!$C$52:$C$61, 0)),'Input-EWEMs'!AD18))</f>
        <v/>
      </c>
      <c r="S47" s="275" t="str">
        <f>IF('Input-EWEMs'!AF18="", "", IFERROR(INDEX('Input-EWEMs'!AF$52:AF$61, MATCH($C47, 'Input-EWEMs'!$C$52:$C$61, 0)),'Input-EWEMs'!AF18))</f>
        <v/>
      </c>
      <c r="T47" s="276" t="str">
        <f>IF('Input-EWEMs'!AG18="", "", IFERROR(INDEX('Input-EWEMs'!AG$52:AG$61, MATCH($C47, 'Input-EWEMs'!$C$52:$C$61, 0)),'Input-EWEMs'!AG18))</f>
        <v/>
      </c>
    </row>
    <row r="48" spans="2:21" s="210" customFormat="1" ht="36" customHeight="1">
      <c r="B48" s="262"/>
      <c r="C48" s="277">
        <v>8</v>
      </c>
      <c r="D48" s="278" t="str">
        <f>IF(IFERROR(MATCH($C48, 'Input-EWEMs'!$C$52:$C$61, 0),0)&gt;0,"adj.","")</f>
        <v/>
      </c>
      <c r="E48" s="800" t="str">
        <f>IF('Input-EWEMs'!F19="", "", IFERROR(INDEX('Input-EWEMs'!$F$52:$F$61, MATCH($C48, 'Input-EWEMs'!$C$52:$C$61, 0)),'Input-EWEMs'!F19))</f>
        <v/>
      </c>
      <c r="F48" s="801"/>
      <c r="G48" s="802"/>
      <c r="H48" s="265" t="str">
        <f>IF('Input-EWEMs'!K19="", "", IFERROR(INDEX('Input-EWEMs'!H$52:H$61, MATCH($C48, 'Input-EWEMs'!$C$52:$C$61, 0)),'Input-EWEMs'!H19))</f>
        <v/>
      </c>
      <c r="I48" s="266" t="str">
        <f>IF('Input-EWEMs'!K19="", "", IFERROR(INDEX('Input-EWEMs'!K$52:K$61, MATCH($C48, 'Input-EWEMs'!$C$52:$C$61, 0)),'Input-EWEMs'!K19))</f>
        <v/>
      </c>
      <c r="J48" s="267" t="str">
        <f>IF('Input-EWEMs'!L19="", "", IFERROR(INDEX('Input-EWEMs'!L$52:L$61, MATCH($C48, 'Input-EWEMs'!$C$52:$C$61, 0)),'Input-EWEMs'!L19))</f>
        <v/>
      </c>
      <c r="K48" s="268" t="str">
        <f>IF('Input-EWEMs'!M19="", "", IFERROR(INDEX('Input-EWEMs'!M$52:M$61, MATCH($C48, 'Input-EWEMs'!$C$52:$C$61, 0)),'Input-EWEMs'!M19))</f>
        <v/>
      </c>
      <c r="L48" s="271" t="str">
        <f>IF('Input-EWEMs'!N19="", "", IFERROR(INDEX('Input-EWEMs'!N$52:N$61, MATCH($C48, 'Input-EWEMs'!$C$52:$C$61, 0)),'Input-EWEMs'!N19))</f>
        <v/>
      </c>
      <c r="M48" s="270" t="str">
        <f>IF('Input-EWEMs'!O19="", "", IFERROR(INDEX('Input-EWEMs'!O$52:O$61, MATCH($C48, 'Input-EWEMs'!$C$52:$C$61, 0)),'Input-EWEMs'!O19))</f>
        <v/>
      </c>
      <c r="N48" s="268" t="str">
        <f>IF('Input-EWEMs'!P19="", "", IFERROR(INDEX('Input-EWEMs'!P$52:P$61, MATCH($C48, 'Input-EWEMs'!$C$52:$C$61, 0)),'Input-EWEMs'!P19))</f>
        <v/>
      </c>
      <c r="O48" s="271" t="str">
        <f>IF('Input-EWEMs'!Q19="", "", IFERROR(INDEX('Input-EWEMs'!Q$52:Q$61, MATCH($C48, 'Input-EWEMs'!$C$52:$C$61, 0)),'Input-EWEMs'!Q19))</f>
        <v/>
      </c>
      <c r="P48" s="272">
        <f>IF('Input-EWEMs'!AB19="", "", IFERROR(INDEX('Input-EWEMs'!AB$52:AB$61, MATCH($C48, 'Input-EWEMs'!$C$52:$C$61, 0)),'Input-EWEMs'!AB19))</f>
        <v>0</v>
      </c>
      <c r="Q48" s="273">
        <f>IF('Input-EWEMs'!AC19="", "", IFERROR(INDEX('Input-EWEMs'!AC$52:AC$61, MATCH($C48, 'Input-EWEMs'!$C$52:$C$61, 0)),'Input-EWEMs'!AC19))</f>
        <v>0</v>
      </c>
      <c r="R48" s="274" t="str">
        <f>IF('Input-EWEMs'!AD19="", "", IFERROR(INDEX('Input-EWEMs'!AD$52:AD$61, MATCH($C48, 'Input-EWEMs'!$C$52:$C$61, 0)),'Input-EWEMs'!AD19))</f>
        <v/>
      </c>
      <c r="S48" s="275" t="str">
        <f>IF('Input-EWEMs'!AF19="", "", IFERROR(INDEX('Input-EWEMs'!AF$52:AF$61, MATCH($C48, 'Input-EWEMs'!$C$52:$C$61, 0)),'Input-EWEMs'!AF19))</f>
        <v/>
      </c>
      <c r="T48" s="276" t="str">
        <f>IF('Input-EWEMs'!AG19="", "", IFERROR(INDEX('Input-EWEMs'!AG$52:AG$61, MATCH($C48, 'Input-EWEMs'!$C$52:$C$61, 0)),'Input-EWEMs'!AG19))</f>
        <v/>
      </c>
    </row>
    <row r="49" spans="2:20" s="210" customFormat="1" ht="36" customHeight="1">
      <c r="B49" s="262"/>
      <c r="C49" s="277">
        <v>9</v>
      </c>
      <c r="D49" s="278" t="str">
        <f>IF(IFERROR(MATCH($C49, 'Input-EWEMs'!$C$52:$C$61, 0),0)&gt;0,"adj.","")</f>
        <v/>
      </c>
      <c r="E49" s="800" t="str">
        <f>IF('Input-EWEMs'!F20="", "", IFERROR(INDEX('Input-EWEMs'!$F$52:$F$61, MATCH($C49, 'Input-EWEMs'!$C$52:$C$61, 0)),'Input-EWEMs'!F20))</f>
        <v/>
      </c>
      <c r="F49" s="801"/>
      <c r="G49" s="802"/>
      <c r="H49" s="265" t="str">
        <f>IF('Input-EWEMs'!K20="", "", IFERROR(INDEX('Input-EWEMs'!H$52:H$61, MATCH($C49, 'Input-EWEMs'!$C$52:$C$61, 0)),'Input-EWEMs'!H20))</f>
        <v/>
      </c>
      <c r="I49" s="266" t="str">
        <f>IF('Input-EWEMs'!K20="", "", IFERROR(INDEX('Input-EWEMs'!K$52:K$61, MATCH($C49, 'Input-EWEMs'!$C$52:$C$61, 0)),'Input-EWEMs'!K20))</f>
        <v/>
      </c>
      <c r="J49" s="267" t="str">
        <f>IF('Input-EWEMs'!L20="", "", IFERROR(INDEX('Input-EWEMs'!L$52:L$61, MATCH($C49, 'Input-EWEMs'!$C$52:$C$61, 0)),'Input-EWEMs'!L20))</f>
        <v/>
      </c>
      <c r="K49" s="268" t="str">
        <f>IF('Input-EWEMs'!M20="", "", IFERROR(INDEX('Input-EWEMs'!M$52:M$61, MATCH($C49, 'Input-EWEMs'!$C$52:$C$61, 0)),'Input-EWEMs'!M20))</f>
        <v/>
      </c>
      <c r="L49" s="271" t="str">
        <f>IF('Input-EWEMs'!N20="", "", IFERROR(INDEX('Input-EWEMs'!N$52:N$61, MATCH($C49, 'Input-EWEMs'!$C$52:$C$61, 0)),'Input-EWEMs'!N20))</f>
        <v/>
      </c>
      <c r="M49" s="270" t="str">
        <f>IF('Input-EWEMs'!O20="", "", IFERROR(INDEX('Input-EWEMs'!O$52:O$61, MATCH($C49, 'Input-EWEMs'!$C$52:$C$61, 0)),'Input-EWEMs'!O20))</f>
        <v/>
      </c>
      <c r="N49" s="268" t="str">
        <f>IF('Input-EWEMs'!P20="", "", IFERROR(INDEX('Input-EWEMs'!P$52:P$61, MATCH($C49, 'Input-EWEMs'!$C$52:$C$61, 0)),'Input-EWEMs'!P20))</f>
        <v/>
      </c>
      <c r="O49" s="271" t="str">
        <f>IF('Input-EWEMs'!Q20="", "", IFERROR(INDEX('Input-EWEMs'!Q$52:Q$61, MATCH($C49, 'Input-EWEMs'!$C$52:$C$61, 0)),'Input-EWEMs'!Q20))</f>
        <v/>
      </c>
      <c r="P49" s="272">
        <f>IF('Input-EWEMs'!AB20="", "", IFERROR(INDEX('Input-EWEMs'!AB$52:AB$61, MATCH($C49, 'Input-EWEMs'!$C$52:$C$61, 0)),'Input-EWEMs'!AB20))</f>
        <v>0</v>
      </c>
      <c r="Q49" s="273">
        <f>IF('Input-EWEMs'!AC20="", "", IFERROR(INDEX('Input-EWEMs'!AC$52:AC$61, MATCH($C49, 'Input-EWEMs'!$C$52:$C$61, 0)),'Input-EWEMs'!AC20))</f>
        <v>0</v>
      </c>
      <c r="R49" s="274" t="str">
        <f>IF('Input-EWEMs'!AD20="", "", IFERROR(INDEX('Input-EWEMs'!AD$52:AD$61, MATCH($C49, 'Input-EWEMs'!$C$52:$C$61, 0)),'Input-EWEMs'!AD20))</f>
        <v/>
      </c>
      <c r="S49" s="275" t="str">
        <f>IF('Input-EWEMs'!AF20="", "", IFERROR(INDEX('Input-EWEMs'!AF$52:AF$61, MATCH($C49, 'Input-EWEMs'!$C$52:$C$61, 0)),'Input-EWEMs'!AF20))</f>
        <v/>
      </c>
      <c r="T49" s="276" t="str">
        <f>IF('Input-EWEMs'!AG20="", "", IFERROR(INDEX('Input-EWEMs'!AG$52:AG$61, MATCH($C49, 'Input-EWEMs'!$C$52:$C$61, 0)),'Input-EWEMs'!AG20))</f>
        <v/>
      </c>
    </row>
    <row r="50" spans="2:20" s="210" customFormat="1" ht="36" customHeight="1">
      <c r="B50" s="262"/>
      <c r="C50" s="277">
        <v>10</v>
      </c>
      <c r="D50" s="278" t="str">
        <f>IF(IFERROR(MATCH($C50, 'Input-EWEMs'!$C$52:$C$61, 0),0)&gt;0,"adj.","")</f>
        <v/>
      </c>
      <c r="E50" s="800" t="str">
        <f>IF('Input-EWEMs'!F21="", "", IFERROR(INDEX('Input-EWEMs'!$F$52:$F$61, MATCH($C50, 'Input-EWEMs'!$C$52:$C$61, 0)),'Input-EWEMs'!F21))</f>
        <v/>
      </c>
      <c r="F50" s="801"/>
      <c r="G50" s="802"/>
      <c r="H50" s="265" t="str">
        <f>IF('Input-EWEMs'!K21="", "", IFERROR(INDEX('Input-EWEMs'!H$52:H$61, MATCH($C50, 'Input-EWEMs'!$C$52:$C$61, 0)),'Input-EWEMs'!H21))</f>
        <v/>
      </c>
      <c r="I50" s="266" t="str">
        <f>IF('Input-EWEMs'!K21="", "", IFERROR(INDEX('Input-EWEMs'!K$52:K$61, MATCH($C50, 'Input-EWEMs'!$C$52:$C$61, 0)),'Input-EWEMs'!K21))</f>
        <v/>
      </c>
      <c r="J50" s="267" t="str">
        <f>IF('Input-EWEMs'!L21="", "", IFERROR(INDEX('Input-EWEMs'!L$52:L$61, MATCH($C50, 'Input-EWEMs'!$C$52:$C$61, 0)),'Input-EWEMs'!L21))</f>
        <v/>
      </c>
      <c r="K50" s="268" t="str">
        <f>IF('Input-EWEMs'!M21="", "", IFERROR(INDEX('Input-EWEMs'!M$52:M$61, MATCH($C50, 'Input-EWEMs'!$C$52:$C$61, 0)),'Input-EWEMs'!M21))</f>
        <v/>
      </c>
      <c r="L50" s="271" t="str">
        <f>IF('Input-EWEMs'!N21="", "", IFERROR(INDEX('Input-EWEMs'!N$52:N$61, MATCH($C50, 'Input-EWEMs'!$C$52:$C$61, 0)),'Input-EWEMs'!N21))</f>
        <v/>
      </c>
      <c r="M50" s="270" t="str">
        <f>IF('Input-EWEMs'!O21="", "", IFERROR(INDEX('Input-EWEMs'!O$52:O$61, MATCH($C50, 'Input-EWEMs'!$C$52:$C$61, 0)),'Input-EWEMs'!O21))</f>
        <v/>
      </c>
      <c r="N50" s="268" t="str">
        <f>IF('Input-EWEMs'!P21="", "", IFERROR(INDEX('Input-EWEMs'!P$52:P$61, MATCH($C50, 'Input-EWEMs'!$C$52:$C$61, 0)),'Input-EWEMs'!P21))</f>
        <v/>
      </c>
      <c r="O50" s="271" t="str">
        <f>IF('Input-EWEMs'!Q21="", "", IFERROR(INDEX('Input-EWEMs'!Q$52:Q$61, MATCH($C50, 'Input-EWEMs'!$C$52:$C$61, 0)),'Input-EWEMs'!Q21))</f>
        <v/>
      </c>
      <c r="P50" s="272">
        <f>IF('Input-EWEMs'!AB21="", "", IFERROR(INDEX('Input-EWEMs'!AB$52:AB$61, MATCH($C50, 'Input-EWEMs'!$C$52:$C$61, 0)),'Input-EWEMs'!AB21))</f>
        <v>0</v>
      </c>
      <c r="Q50" s="273">
        <f>IF('Input-EWEMs'!AC21="", "", IFERROR(INDEX('Input-EWEMs'!AC$52:AC$61, MATCH($C50, 'Input-EWEMs'!$C$52:$C$61, 0)),'Input-EWEMs'!AC21))</f>
        <v>0</v>
      </c>
      <c r="R50" s="274" t="str">
        <f>IF('Input-EWEMs'!AD21="", "", IFERROR(INDEX('Input-EWEMs'!AD$52:AD$61, MATCH($C50, 'Input-EWEMs'!$C$52:$C$61, 0)),'Input-EWEMs'!AD21))</f>
        <v/>
      </c>
      <c r="S50" s="275" t="str">
        <f>IF('Input-EWEMs'!AF21="", "", IFERROR(INDEX('Input-EWEMs'!AF$52:AF$61, MATCH($C50, 'Input-EWEMs'!$C$52:$C$61, 0)),'Input-EWEMs'!AF21))</f>
        <v/>
      </c>
      <c r="T50" s="276" t="str">
        <f>IF('Input-EWEMs'!AG21="", "", IFERROR(INDEX('Input-EWEMs'!AG$52:AG$61, MATCH($C50, 'Input-EWEMs'!$C$52:$C$61, 0)),'Input-EWEMs'!AG21))</f>
        <v/>
      </c>
    </row>
    <row r="51" spans="2:20" s="210" customFormat="1" ht="36" customHeight="1">
      <c r="B51" s="262"/>
      <c r="C51" s="277">
        <v>11</v>
      </c>
      <c r="D51" s="278" t="str">
        <f>IF(IFERROR(MATCH($C51, 'Input-EWEMs'!$C$52:$C$61, 0),0)&gt;0,"adj.","")</f>
        <v/>
      </c>
      <c r="E51" s="800" t="str">
        <f>IF('Input-EWEMs'!F22="", "", IFERROR(INDEX('Input-EWEMs'!$F$52:$F$61, MATCH($C51, 'Input-EWEMs'!$C$52:$C$61, 0)),'Input-EWEMs'!F22))</f>
        <v/>
      </c>
      <c r="F51" s="801"/>
      <c r="G51" s="802"/>
      <c r="H51" s="265" t="str">
        <f>IF('Input-EWEMs'!K22="", "", IFERROR(INDEX('Input-EWEMs'!H$52:H$61, MATCH($C51, 'Input-EWEMs'!$C$52:$C$61, 0)),'Input-EWEMs'!H22))</f>
        <v/>
      </c>
      <c r="I51" s="266" t="str">
        <f>IF('Input-EWEMs'!K22="", "", IFERROR(INDEX('Input-EWEMs'!K$52:K$61, MATCH($C51, 'Input-EWEMs'!$C$52:$C$61, 0)),'Input-EWEMs'!K22))</f>
        <v/>
      </c>
      <c r="J51" s="267" t="str">
        <f>IF('Input-EWEMs'!L22="", "", IFERROR(INDEX('Input-EWEMs'!L$52:L$61, MATCH($C51, 'Input-EWEMs'!$C$52:$C$61, 0)),'Input-EWEMs'!L22))</f>
        <v/>
      </c>
      <c r="K51" s="268" t="str">
        <f>IF('Input-EWEMs'!M22="", "", IFERROR(INDEX('Input-EWEMs'!M$52:M$61, MATCH($C51, 'Input-EWEMs'!$C$52:$C$61, 0)),'Input-EWEMs'!M22))</f>
        <v/>
      </c>
      <c r="L51" s="271" t="str">
        <f>IF('Input-EWEMs'!N22="", "", IFERROR(INDEX('Input-EWEMs'!N$52:N$61, MATCH($C51, 'Input-EWEMs'!$C$52:$C$61, 0)),'Input-EWEMs'!N22))</f>
        <v/>
      </c>
      <c r="M51" s="270" t="str">
        <f>IF('Input-EWEMs'!O22="", "", IFERROR(INDEX('Input-EWEMs'!O$52:O$61, MATCH($C51, 'Input-EWEMs'!$C$52:$C$61, 0)),'Input-EWEMs'!O22))</f>
        <v/>
      </c>
      <c r="N51" s="268" t="str">
        <f>IF('Input-EWEMs'!P22="", "", IFERROR(INDEX('Input-EWEMs'!P$52:P$61, MATCH($C51, 'Input-EWEMs'!$C$52:$C$61, 0)),'Input-EWEMs'!P22))</f>
        <v/>
      </c>
      <c r="O51" s="271" t="str">
        <f>IF('Input-EWEMs'!Q22="", "", IFERROR(INDEX('Input-EWEMs'!Q$52:Q$61, MATCH($C51, 'Input-EWEMs'!$C$52:$C$61, 0)),'Input-EWEMs'!Q22))</f>
        <v/>
      </c>
      <c r="P51" s="272">
        <f>IF('Input-EWEMs'!AB22="", "", IFERROR(INDEX('Input-EWEMs'!AB$52:AB$61, MATCH($C51, 'Input-EWEMs'!$C$52:$C$61, 0)),'Input-EWEMs'!AB22))</f>
        <v>0</v>
      </c>
      <c r="Q51" s="273">
        <f>IF('Input-EWEMs'!AC22="", "", IFERROR(INDEX('Input-EWEMs'!AC$52:AC$61, MATCH($C51, 'Input-EWEMs'!$C$52:$C$61, 0)),'Input-EWEMs'!AC22))</f>
        <v>0</v>
      </c>
      <c r="R51" s="274" t="str">
        <f>IF('Input-EWEMs'!AD22="", "", IFERROR(INDEX('Input-EWEMs'!AD$52:AD$61, MATCH($C51, 'Input-EWEMs'!$C$52:$C$61, 0)),'Input-EWEMs'!AD22))</f>
        <v/>
      </c>
      <c r="S51" s="275" t="str">
        <f>IF('Input-EWEMs'!AF22="", "", IFERROR(INDEX('Input-EWEMs'!AF$52:AF$61, MATCH($C51, 'Input-EWEMs'!$C$52:$C$61, 0)),'Input-EWEMs'!AF22))</f>
        <v/>
      </c>
      <c r="T51" s="276" t="str">
        <f>IF('Input-EWEMs'!AG22="", "", IFERROR(INDEX('Input-EWEMs'!AG$52:AG$61, MATCH($C51, 'Input-EWEMs'!$C$52:$C$61, 0)),'Input-EWEMs'!AG22))</f>
        <v/>
      </c>
    </row>
    <row r="52" spans="2:20" s="210" customFormat="1" ht="36" customHeight="1">
      <c r="B52" s="262"/>
      <c r="C52" s="277">
        <v>12</v>
      </c>
      <c r="D52" s="278" t="str">
        <f>IF(IFERROR(MATCH($C52, 'Input-EWEMs'!$C$52:$C$61, 0),0)&gt;0,"adj.","")</f>
        <v/>
      </c>
      <c r="E52" s="800" t="str">
        <f>IF('Input-EWEMs'!F23="", "", IFERROR(INDEX('Input-EWEMs'!$F$52:$F$61, MATCH($C52, 'Input-EWEMs'!$C$52:$C$61, 0)),'Input-EWEMs'!F23))</f>
        <v/>
      </c>
      <c r="F52" s="801"/>
      <c r="G52" s="802"/>
      <c r="H52" s="265" t="str">
        <f>IF('Input-EWEMs'!K23="", "", IFERROR(INDEX('Input-EWEMs'!H$52:H$61, MATCH($C52, 'Input-EWEMs'!$C$52:$C$61, 0)),'Input-EWEMs'!H23))</f>
        <v/>
      </c>
      <c r="I52" s="266" t="str">
        <f>IF('Input-EWEMs'!K23="", "", IFERROR(INDEX('Input-EWEMs'!K$52:K$61, MATCH($C52, 'Input-EWEMs'!$C$52:$C$61, 0)),'Input-EWEMs'!K23))</f>
        <v/>
      </c>
      <c r="J52" s="267" t="str">
        <f>IF('Input-EWEMs'!L23="", "", IFERROR(INDEX('Input-EWEMs'!L$52:L$61, MATCH($C52, 'Input-EWEMs'!$C$52:$C$61, 0)),'Input-EWEMs'!L23))</f>
        <v/>
      </c>
      <c r="K52" s="268" t="str">
        <f>IF('Input-EWEMs'!M23="", "", IFERROR(INDEX('Input-EWEMs'!M$52:M$61, MATCH($C52, 'Input-EWEMs'!$C$52:$C$61, 0)),'Input-EWEMs'!M23))</f>
        <v/>
      </c>
      <c r="L52" s="271" t="str">
        <f>IF('Input-EWEMs'!N23="", "", IFERROR(INDEX('Input-EWEMs'!N$52:N$61, MATCH($C52, 'Input-EWEMs'!$C$52:$C$61, 0)),'Input-EWEMs'!N23))</f>
        <v/>
      </c>
      <c r="M52" s="270" t="str">
        <f>IF('Input-EWEMs'!O23="", "", IFERROR(INDEX('Input-EWEMs'!O$52:O$61, MATCH($C52, 'Input-EWEMs'!$C$52:$C$61, 0)),'Input-EWEMs'!O23))</f>
        <v/>
      </c>
      <c r="N52" s="268" t="str">
        <f>IF('Input-EWEMs'!P23="", "", IFERROR(INDEX('Input-EWEMs'!P$52:P$61, MATCH($C52, 'Input-EWEMs'!$C$52:$C$61, 0)),'Input-EWEMs'!P23))</f>
        <v/>
      </c>
      <c r="O52" s="271" t="str">
        <f>IF('Input-EWEMs'!Q23="", "", IFERROR(INDEX('Input-EWEMs'!Q$52:Q$61, MATCH($C52, 'Input-EWEMs'!$C$52:$C$61, 0)),'Input-EWEMs'!Q23))</f>
        <v/>
      </c>
      <c r="P52" s="272">
        <f>IF('Input-EWEMs'!AB23="", "", IFERROR(INDEX('Input-EWEMs'!AB$52:AB$61, MATCH($C52, 'Input-EWEMs'!$C$52:$C$61, 0)),'Input-EWEMs'!AB23))</f>
        <v>0</v>
      </c>
      <c r="Q52" s="273">
        <f>IF('Input-EWEMs'!AC23="", "", IFERROR(INDEX('Input-EWEMs'!AC$52:AC$61, MATCH($C52, 'Input-EWEMs'!$C$52:$C$61, 0)),'Input-EWEMs'!AC23))</f>
        <v>0</v>
      </c>
      <c r="R52" s="274" t="str">
        <f>IF('Input-EWEMs'!AD23="", "", IFERROR(INDEX('Input-EWEMs'!AD$52:AD$61, MATCH($C52, 'Input-EWEMs'!$C$52:$C$61, 0)),'Input-EWEMs'!AD23))</f>
        <v/>
      </c>
      <c r="S52" s="275" t="str">
        <f>IF('Input-EWEMs'!AF23="", "", IFERROR(INDEX('Input-EWEMs'!AF$52:AF$61, MATCH($C52, 'Input-EWEMs'!$C$52:$C$61, 0)),'Input-EWEMs'!AF23))</f>
        <v/>
      </c>
      <c r="T52" s="276" t="str">
        <f>IF('Input-EWEMs'!AG23="", "", IFERROR(INDEX('Input-EWEMs'!AG$52:AG$61, MATCH($C52, 'Input-EWEMs'!$C$52:$C$61, 0)),'Input-EWEMs'!AG23))</f>
        <v/>
      </c>
    </row>
    <row r="53" spans="2:20" s="210" customFormat="1" ht="36" customHeight="1">
      <c r="B53" s="262"/>
      <c r="C53" s="277">
        <v>13</v>
      </c>
      <c r="D53" s="278" t="str">
        <f>IF(IFERROR(MATCH($C53, 'Input-EWEMs'!$C$52:$C$61, 0),0)&gt;0,"adj.","")</f>
        <v/>
      </c>
      <c r="E53" s="800" t="str">
        <f>IF('Input-EWEMs'!F24="", "", IFERROR(INDEX('Input-EWEMs'!$F$52:$F$61, MATCH($C53, 'Input-EWEMs'!$C$52:$C$61, 0)),'Input-EWEMs'!F24))</f>
        <v/>
      </c>
      <c r="F53" s="801"/>
      <c r="G53" s="802"/>
      <c r="H53" s="265" t="str">
        <f>IF('Input-EWEMs'!K24="", "", IFERROR(INDEX('Input-EWEMs'!H$52:H$61, MATCH($C53, 'Input-EWEMs'!$C$52:$C$61, 0)),'Input-EWEMs'!H24))</f>
        <v/>
      </c>
      <c r="I53" s="266" t="str">
        <f>IF('Input-EWEMs'!K24="", "", IFERROR(INDEX('Input-EWEMs'!K$52:K$61, MATCH($C53, 'Input-EWEMs'!$C$52:$C$61, 0)),'Input-EWEMs'!K24))</f>
        <v/>
      </c>
      <c r="J53" s="267" t="str">
        <f>IF('Input-EWEMs'!L24="", "", IFERROR(INDEX('Input-EWEMs'!L$52:L$61, MATCH($C53, 'Input-EWEMs'!$C$52:$C$61, 0)),'Input-EWEMs'!L24))</f>
        <v/>
      </c>
      <c r="K53" s="268" t="str">
        <f>IF('Input-EWEMs'!M24="", "", IFERROR(INDEX('Input-EWEMs'!M$52:M$61, MATCH($C53, 'Input-EWEMs'!$C$52:$C$61, 0)),'Input-EWEMs'!M24))</f>
        <v/>
      </c>
      <c r="L53" s="271" t="str">
        <f>IF('Input-EWEMs'!N24="", "", IFERROR(INDEX('Input-EWEMs'!N$52:N$61, MATCH($C53, 'Input-EWEMs'!$C$52:$C$61, 0)),'Input-EWEMs'!N24))</f>
        <v/>
      </c>
      <c r="M53" s="270" t="str">
        <f>IF('Input-EWEMs'!O24="", "", IFERROR(INDEX('Input-EWEMs'!O$52:O$61, MATCH($C53, 'Input-EWEMs'!$C$52:$C$61, 0)),'Input-EWEMs'!O24))</f>
        <v/>
      </c>
      <c r="N53" s="268" t="str">
        <f>IF('Input-EWEMs'!P24="", "", IFERROR(INDEX('Input-EWEMs'!P$52:P$61, MATCH($C53, 'Input-EWEMs'!$C$52:$C$61, 0)),'Input-EWEMs'!P24))</f>
        <v/>
      </c>
      <c r="O53" s="271" t="str">
        <f>IF('Input-EWEMs'!Q24="", "", IFERROR(INDEX('Input-EWEMs'!Q$52:Q$61, MATCH($C53, 'Input-EWEMs'!$C$52:$C$61, 0)),'Input-EWEMs'!Q24))</f>
        <v/>
      </c>
      <c r="P53" s="272">
        <f>IF('Input-EWEMs'!AB24="", "", IFERROR(INDEX('Input-EWEMs'!AB$52:AB$61, MATCH($C53, 'Input-EWEMs'!$C$52:$C$61, 0)),'Input-EWEMs'!AB24))</f>
        <v>0</v>
      </c>
      <c r="Q53" s="273">
        <f>IF('Input-EWEMs'!AC24="", "", IFERROR(INDEX('Input-EWEMs'!AC$52:AC$61, MATCH($C53, 'Input-EWEMs'!$C$52:$C$61, 0)),'Input-EWEMs'!AC24))</f>
        <v>0</v>
      </c>
      <c r="R53" s="274" t="str">
        <f>IF('Input-EWEMs'!AD24="", "", IFERROR(INDEX('Input-EWEMs'!AD$52:AD$61, MATCH($C53, 'Input-EWEMs'!$C$52:$C$61, 0)),'Input-EWEMs'!AD24))</f>
        <v/>
      </c>
      <c r="S53" s="275" t="str">
        <f>IF('Input-EWEMs'!AF24="", "", IFERROR(INDEX('Input-EWEMs'!AF$52:AF$61, MATCH($C53, 'Input-EWEMs'!$C$52:$C$61, 0)),'Input-EWEMs'!AF24))</f>
        <v/>
      </c>
      <c r="T53" s="276" t="str">
        <f>IF('Input-EWEMs'!AG24="", "", IFERROR(INDEX('Input-EWEMs'!AG$52:AG$61, MATCH($C53, 'Input-EWEMs'!$C$52:$C$61, 0)),'Input-EWEMs'!AG24))</f>
        <v/>
      </c>
    </row>
    <row r="54" spans="2:20" s="210" customFormat="1" ht="36" customHeight="1">
      <c r="B54" s="262"/>
      <c r="C54" s="277">
        <v>14</v>
      </c>
      <c r="D54" s="278" t="str">
        <f>IF(IFERROR(MATCH($C54, 'Input-EWEMs'!$C$52:$C$61, 0),0)&gt;0,"adj.","")</f>
        <v/>
      </c>
      <c r="E54" s="800" t="str">
        <f>IF('Input-EWEMs'!F25="", "", IFERROR(INDEX('Input-EWEMs'!$F$52:$F$61, MATCH($C54, 'Input-EWEMs'!$C$52:$C$61, 0)),'Input-EWEMs'!F25))</f>
        <v/>
      </c>
      <c r="F54" s="801"/>
      <c r="G54" s="802"/>
      <c r="H54" s="265" t="str">
        <f>IF('Input-EWEMs'!K25="", "", IFERROR(INDEX('Input-EWEMs'!H$52:H$61, MATCH($C54, 'Input-EWEMs'!$C$52:$C$61, 0)),'Input-EWEMs'!H25))</f>
        <v/>
      </c>
      <c r="I54" s="266" t="str">
        <f>IF('Input-EWEMs'!K25="", "", IFERROR(INDEX('Input-EWEMs'!K$52:K$61, MATCH($C54, 'Input-EWEMs'!$C$52:$C$61, 0)),'Input-EWEMs'!K25))</f>
        <v/>
      </c>
      <c r="J54" s="267" t="str">
        <f>IF('Input-EWEMs'!L25="", "", IFERROR(INDEX('Input-EWEMs'!L$52:L$61, MATCH($C54, 'Input-EWEMs'!$C$52:$C$61, 0)),'Input-EWEMs'!L25))</f>
        <v/>
      </c>
      <c r="K54" s="268" t="str">
        <f>IF('Input-EWEMs'!M25="", "", IFERROR(INDEX('Input-EWEMs'!M$52:M$61, MATCH($C54, 'Input-EWEMs'!$C$52:$C$61, 0)),'Input-EWEMs'!M25))</f>
        <v/>
      </c>
      <c r="L54" s="271" t="str">
        <f>IF('Input-EWEMs'!N25="", "", IFERROR(INDEX('Input-EWEMs'!N$52:N$61, MATCH($C54, 'Input-EWEMs'!$C$52:$C$61, 0)),'Input-EWEMs'!N25))</f>
        <v/>
      </c>
      <c r="M54" s="270" t="str">
        <f>IF('Input-EWEMs'!O25="", "", IFERROR(INDEX('Input-EWEMs'!O$52:O$61, MATCH($C54, 'Input-EWEMs'!$C$52:$C$61, 0)),'Input-EWEMs'!O25))</f>
        <v/>
      </c>
      <c r="N54" s="268" t="str">
        <f>IF('Input-EWEMs'!P25="", "", IFERROR(INDEX('Input-EWEMs'!P$52:P$61, MATCH($C54, 'Input-EWEMs'!$C$52:$C$61, 0)),'Input-EWEMs'!P25))</f>
        <v/>
      </c>
      <c r="O54" s="271" t="str">
        <f>IF('Input-EWEMs'!Q25="", "", IFERROR(INDEX('Input-EWEMs'!Q$52:Q$61, MATCH($C54, 'Input-EWEMs'!$C$52:$C$61, 0)),'Input-EWEMs'!Q25))</f>
        <v/>
      </c>
      <c r="P54" s="272">
        <f>IF('Input-EWEMs'!AB25="", "", IFERROR(INDEX('Input-EWEMs'!AB$52:AB$61, MATCH($C54, 'Input-EWEMs'!$C$52:$C$61, 0)),'Input-EWEMs'!AB25))</f>
        <v>0</v>
      </c>
      <c r="Q54" s="273">
        <f>IF('Input-EWEMs'!AC25="", "", IFERROR(INDEX('Input-EWEMs'!AC$52:AC$61, MATCH($C54, 'Input-EWEMs'!$C$52:$C$61, 0)),'Input-EWEMs'!AC25))</f>
        <v>0</v>
      </c>
      <c r="R54" s="274" t="str">
        <f>IF('Input-EWEMs'!AD25="", "", IFERROR(INDEX('Input-EWEMs'!AD$52:AD$61, MATCH($C54, 'Input-EWEMs'!$C$52:$C$61, 0)),'Input-EWEMs'!AD25))</f>
        <v/>
      </c>
      <c r="S54" s="275" t="str">
        <f>IF('Input-EWEMs'!AF25="", "", IFERROR(INDEX('Input-EWEMs'!AF$52:AF$61, MATCH($C54, 'Input-EWEMs'!$C$52:$C$61, 0)),'Input-EWEMs'!AF25))</f>
        <v/>
      </c>
      <c r="T54" s="276" t="str">
        <f>IF('Input-EWEMs'!AG25="", "", IFERROR(INDEX('Input-EWEMs'!AG$52:AG$61, MATCH($C54, 'Input-EWEMs'!$C$52:$C$61, 0)),'Input-EWEMs'!AG25))</f>
        <v/>
      </c>
    </row>
    <row r="55" spans="2:20" s="279" customFormat="1" ht="36" customHeight="1">
      <c r="B55" s="262"/>
      <c r="C55" s="277">
        <v>15</v>
      </c>
      <c r="D55" s="278" t="str">
        <f>IF(IFERROR(MATCH($C55, 'Input-EWEMs'!$C$52:$C$61, 0),0)&gt;0,"adj.","")</f>
        <v/>
      </c>
      <c r="E55" s="800" t="str">
        <f>IF('Input-EWEMs'!F26="", "", IFERROR(INDEX('Input-EWEMs'!$F$52:$F$61, MATCH($C55, 'Input-EWEMs'!$C$52:$C$61, 0)),'Input-EWEMs'!F26))</f>
        <v/>
      </c>
      <c r="F55" s="801"/>
      <c r="G55" s="802"/>
      <c r="H55" s="265" t="str">
        <f>IF('Input-EWEMs'!K26="", "", IFERROR(INDEX('Input-EWEMs'!H$52:H$61, MATCH($C55, 'Input-EWEMs'!$C$52:$C$61, 0)),'Input-EWEMs'!H26))</f>
        <v/>
      </c>
      <c r="I55" s="266" t="str">
        <f>IF('Input-EWEMs'!K26="", "", IFERROR(INDEX('Input-EWEMs'!K$52:K$61, MATCH($C55, 'Input-EWEMs'!$C$52:$C$61, 0)),'Input-EWEMs'!K26))</f>
        <v/>
      </c>
      <c r="J55" s="267" t="str">
        <f>IF('Input-EWEMs'!L26="", "", IFERROR(INDEX('Input-EWEMs'!L$52:L$61, MATCH($C55, 'Input-EWEMs'!$C$52:$C$61, 0)),'Input-EWEMs'!L26))</f>
        <v/>
      </c>
      <c r="K55" s="268" t="str">
        <f>IF('Input-EWEMs'!M26="", "", IFERROR(INDEX('Input-EWEMs'!M$52:M$61, MATCH($C55, 'Input-EWEMs'!$C$52:$C$61, 0)),'Input-EWEMs'!M26))</f>
        <v/>
      </c>
      <c r="L55" s="271" t="str">
        <f>IF('Input-EWEMs'!N26="", "", IFERROR(INDEX('Input-EWEMs'!N$52:N$61, MATCH($C55, 'Input-EWEMs'!$C$52:$C$61, 0)),'Input-EWEMs'!N26))</f>
        <v/>
      </c>
      <c r="M55" s="270" t="str">
        <f>IF('Input-EWEMs'!O26="", "", IFERROR(INDEX('Input-EWEMs'!O$52:O$61, MATCH($C55, 'Input-EWEMs'!$C$52:$C$61, 0)),'Input-EWEMs'!O26))</f>
        <v/>
      </c>
      <c r="N55" s="268" t="str">
        <f>IF('Input-EWEMs'!P26="", "", IFERROR(INDEX('Input-EWEMs'!P$52:P$61, MATCH($C55, 'Input-EWEMs'!$C$52:$C$61, 0)),'Input-EWEMs'!P26))</f>
        <v/>
      </c>
      <c r="O55" s="271" t="str">
        <f>IF('Input-EWEMs'!Q26="", "", IFERROR(INDEX('Input-EWEMs'!Q$52:Q$61, MATCH($C55, 'Input-EWEMs'!$C$52:$C$61, 0)),'Input-EWEMs'!Q26))</f>
        <v/>
      </c>
      <c r="P55" s="272">
        <f>IF('Input-EWEMs'!AB26="", "", IFERROR(INDEX('Input-EWEMs'!AB$52:AB$61, MATCH($C55, 'Input-EWEMs'!$C$52:$C$61, 0)),'Input-EWEMs'!AB26))</f>
        <v>0</v>
      </c>
      <c r="Q55" s="273">
        <f>IF('Input-EWEMs'!AC26="", "", IFERROR(INDEX('Input-EWEMs'!AC$52:AC$61, MATCH($C55, 'Input-EWEMs'!$C$52:$C$61, 0)),'Input-EWEMs'!AC26))</f>
        <v>0</v>
      </c>
      <c r="R55" s="274" t="str">
        <f>IF('Input-EWEMs'!AD26="", "", IFERROR(INDEX('Input-EWEMs'!AD$52:AD$61, MATCH($C55, 'Input-EWEMs'!$C$52:$C$61, 0)),'Input-EWEMs'!AD26))</f>
        <v/>
      </c>
      <c r="S55" s="275" t="str">
        <f>IF('Input-EWEMs'!AF26="", "", IFERROR(INDEX('Input-EWEMs'!AF$52:AF$61, MATCH($C55, 'Input-EWEMs'!$C$52:$C$61, 0)),'Input-EWEMs'!AF26))</f>
        <v/>
      </c>
      <c r="T55" s="276" t="str">
        <f>IF('Input-EWEMs'!AG26="", "", IFERROR(INDEX('Input-EWEMs'!AG$52:AG$61, MATCH($C55, 'Input-EWEMs'!$C$52:$C$61, 0)),'Input-EWEMs'!AG26))</f>
        <v/>
      </c>
    </row>
    <row r="56" spans="2:20" s="210" customFormat="1" ht="36" customHeight="1">
      <c r="B56" s="262"/>
      <c r="C56" s="277">
        <v>16</v>
      </c>
      <c r="D56" s="278" t="str">
        <f>IF(IFERROR(MATCH($C56, 'Input-EWEMs'!$C$52:$C$61, 0),0)&gt;0,"adj.","")</f>
        <v/>
      </c>
      <c r="E56" s="800" t="str">
        <f>IF('Input-EWEMs'!F27="", "", IFERROR(INDEX('Input-EWEMs'!$F$52:$F$61, MATCH($C56, 'Input-EWEMs'!$C$52:$C$61, 0)),'Input-EWEMs'!F27))</f>
        <v/>
      </c>
      <c r="F56" s="801"/>
      <c r="G56" s="802"/>
      <c r="H56" s="265" t="str">
        <f>IF('Input-EWEMs'!K27="", "", IFERROR(INDEX('Input-EWEMs'!H$52:H$61, MATCH($C56, 'Input-EWEMs'!$C$52:$C$61, 0)),'Input-EWEMs'!H27))</f>
        <v/>
      </c>
      <c r="I56" s="266" t="str">
        <f>IF('Input-EWEMs'!K27="", "", IFERROR(INDEX('Input-EWEMs'!K$52:K$61, MATCH($C56, 'Input-EWEMs'!$C$52:$C$61, 0)),'Input-EWEMs'!K27))</f>
        <v/>
      </c>
      <c r="J56" s="267" t="str">
        <f>IF('Input-EWEMs'!L27="", "", IFERROR(INDEX('Input-EWEMs'!L$52:L$61, MATCH($C56, 'Input-EWEMs'!$C$52:$C$61, 0)),'Input-EWEMs'!L27))</f>
        <v/>
      </c>
      <c r="K56" s="268" t="str">
        <f>IF('Input-EWEMs'!M27="", "", IFERROR(INDEX('Input-EWEMs'!M$52:M$61, MATCH($C56, 'Input-EWEMs'!$C$52:$C$61, 0)),'Input-EWEMs'!M27))</f>
        <v/>
      </c>
      <c r="L56" s="271" t="str">
        <f>IF('Input-EWEMs'!N27="", "", IFERROR(INDEX('Input-EWEMs'!N$52:N$61, MATCH($C56, 'Input-EWEMs'!$C$52:$C$61, 0)),'Input-EWEMs'!N27))</f>
        <v/>
      </c>
      <c r="M56" s="270" t="str">
        <f>IF('Input-EWEMs'!O27="", "", IFERROR(INDEX('Input-EWEMs'!O$52:O$61, MATCH($C56, 'Input-EWEMs'!$C$52:$C$61, 0)),'Input-EWEMs'!O27))</f>
        <v/>
      </c>
      <c r="N56" s="268" t="str">
        <f>IF('Input-EWEMs'!P27="", "", IFERROR(INDEX('Input-EWEMs'!P$52:P$61, MATCH($C56, 'Input-EWEMs'!$C$52:$C$61, 0)),'Input-EWEMs'!P27))</f>
        <v/>
      </c>
      <c r="O56" s="271" t="str">
        <f>IF('Input-EWEMs'!Q27="", "", IFERROR(INDEX('Input-EWEMs'!Q$52:Q$61, MATCH($C56, 'Input-EWEMs'!$C$52:$C$61, 0)),'Input-EWEMs'!Q27))</f>
        <v/>
      </c>
      <c r="P56" s="272">
        <f>IF('Input-EWEMs'!AB27="", "", IFERROR(INDEX('Input-EWEMs'!AB$52:AB$61, MATCH($C56, 'Input-EWEMs'!$C$52:$C$61, 0)),'Input-EWEMs'!AB27))</f>
        <v>0</v>
      </c>
      <c r="Q56" s="273">
        <f>IF('Input-EWEMs'!AC27="", "", IFERROR(INDEX('Input-EWEMs'!AC$52:AC$61, MATCH($C56, 'Input-EWEMs'!$C$52:$C$61, 0)),'Input-EWEMs'!AC27))</f>
        <v>0</v>
      </c>
      <c r="R56" s="274" t="str">
        <f>IF('Input-EWEMs'!AD27="", "", IFERROR(INDEX('Input-EWEMs'!AD$52:AD$61, MATCH($C56, 'Input-EWEMs'!$C$52:$C$61, 0)),'Input-EWEMs'!AD27))</f>
        <v/>
      </c>
      <c r="S56" s="275" t="str">
        <f>IF('Input-EWEMs'!AF27="", "", IFERROR(INDEX('Input-EWEMs'!AF$52:AF$61, MATCH($C56, 'Input-EWEMs'!$C$52:$C$61, 0)),'Input-EWEMs'!AF27))</f>
        <v/>
      </c>
      <c r="T56" s="276" t="str">
        <f>IF('Input-EWEMs'!AG27="", "", IFERROR(INDEX('Input-EWEMs'!AG$52:AG$61, MATCH($C56, 'Input-EWEMs'!$C$52:$C$61, 0)),'Input-EWEMs'!AG27))</f>
        <v/>
      </c>
    </row>
    <row r="57" spans="2:20" s="210" customFormat="1" ht="36" customHeight="1">
      <c r="B57" s="262"/>
      <c r="C57" s="277">
        <v>17</v>
      </c>
      <c r="D57" s="278" t="str">
        <f>IF(IFERROR(MATCH($C57, 'Input-EWEMs'!$C$52:$C$61, 0),0)&gt;0,"adj.","")</f>
        <v/>
      </c>
      <c r="E57" s="800" t="str">
        <f>IF('Input-EWEMs'!F28="", "", IFERROR(INDEX('Input-EWEMs'!$F$52:$F$61, MATCH($C57, 'Input-EWEMs'!$C$52:$C$61, 0)),'Input-EWEMs'!F28))</f>
        <v/>
      </c>
      <c r="F57" s="801"/>
      <c r="G57" s="802"/>
      <c r="H57" s="265" t="str">
        <f>IF('Input-EWEMs'!K28="", "", IFERROR(INDEX('Input-EWEMs'!H$52:H$61, MATCH($C57, 'Input-EWEMs'!$C$52:$C$61, 0)),'Input-EWEMs'!H28))</f>
        <v/>
      </c>
      <c r="I57" s="266" t="str">
        <f>IF('Input-EWEMs'!K28="", "", IFERROR(INDEX('Input-EWEMs'!K$52:K$61, MATCH($C57, 'Input-EWEMs'!$C$52:$C$61, 0)),'Input-EWEMs'!K28))</f>
        <v/>
      </c>
      <c r="J57" s="267" t="str">
        <f>IF('Input-EWEMs'!L28="", "", IFERROR(INDEX('Input-EWEMs'!L$52:L$61, MATCH($C57, 'Input-EWEMs'!$C$52:$C$61, 0)),'Input-EWEMs'!L28))</f>
        <v/>
      </c>
      <c r="K57" s="268" t="str">
        <f>IF('Input-EWEMs'!M28="", "", IFERROR(INDEX('Input-EWEMs'!M$52:M$61, MATCH($C57, 'Input-EWEMs'!$C$52:$C$61, 0)),'Input-EWEMs'!M28))</f>
        <v/>
      </c>
      <c r="L57" s="271" t="str">
        <f>IF('Input-EWEMs'!N28="", "", IFERROR(INDEX('Input-EWEMs'!N$52:N$61, MATCH($C57, 'Input-EWEMs'!$C$52:$C$61, 0)),'Input-EWEMs'!N28))</f>
        <v/>
      </c>
      <c r="M57" s="270" t="str">
        <f>IF('Input-EWEMs'!O28="", "", IFERROR(INDEX('Input-EWEMs'!O$52:O$61, MATCH($C57, 'Input-EWEMs'!$C$52:$C$61, 0)),'Input-EWEMs'!O28))</f>
        <v/>
      </c>
      <c r="N57" s="268" t="str">
        <f>IF('Input-EWEMs'!P28="", "", IFERROR(INDEX('Input-EWEMs'!P$52:P$61, MATCH($C57, 'Input-EWEMs'!$C$52:$C$61, 0)),'Input-EWEMs'!P28))</f>
        <v/>
      </c>
      <c r="O57" s="271" t="str">
        <f>IF('Input-EWEMs'!Q28="", "", IFERROR(INDEX('Input-EWEMs'!Q$52:Q$61, MATCH($C57, 'Input-EWEMs'!$C$52:$C$61, 0)),'Input-EWEMs'!Q28))</f>
        <v/>
      </c>
      <c r="P57" s="272">
        <f>IF('Input-EWEMs'!AB28="", "", IFERROR(INDEX('Input-EWEMs'!AB$52:AB$61, MATCH($C57, 'Input-EWEMs'!$C$52:$C$61, 0)),'Input-EWEMs'!AB28))</f>
        <v>0</v>
      </c>
      <c r="Q57" s="273">
        <f>IF('Input-EWEMs'!AC28="", "", IFERROR(INDEX('Input-EWEMs'!AC$52:AC$61, MATCH($C57, 'Input-EWEMs'!$C$52:$C$61, 0)),'Input-EWEMs'!AC28))</f>
        <v>0</v>
      </c>
      <c r="R57" s="274" t="str">
        <f>IF('Input-EWEMs'!AD28="", "", IFERROR(INDEX('Input-EWEMs'!AD$52:AD$61, MATCH($C57, 'Input-EWEMs'!$C$52:$C$61, 0)),'Input-EWEMs'!AD28))</f>
        <v/>
      </c>
      <c r="S57" s="275" t="str">
        <f>IF('Input-EWEMs'!AF28="", "", IFERROR(INDEX('Input-EWEMs'!AF$52:AF$61, MATCH($C57, 'Input-EWEMs'!$C$52:$C$61, 0)),'Input-EWEMs'!AF28))</f>
        <v/>
      </c>
      <c r="T57" s="276" t="str">
        <f>IF('Input-EWEMs'!AG28="", "", IFERROR(INDEX('Input-EWEMs'!AG$52:AG$61, MATCH($C57, 'Input-EWEMs'!$C$52:$C$61, 0)),'Input-EWEMs'!AG28))</f>
        <v/>
      </c>
    </row>
    <row r="58" spans="2:20" s="210" customFormat="1" ht="36" customHeight="1">
      <c r="B58" s="262"/>
      <c r="C58" s="277">
        <v>18</v>
      </c>
      <c r="D58" s="278" t="str">
        <f>IF(IFERROR(MATCH($C58, 'Input-EWEMs'!$C$52:$C$61, 0),0)&gt;0,"adj.","")</f>
        <v/>
      </c>
      <c r="E58" s="800" t="str">
        <f>IF('Input-EWEMs'!F29="", "", IFERROR(INDEX('Input-EWEMs'!$F$52:$F$61, MATCH($C58, 'Input-EWEMs'!$C$52:$C$61, 0)),'Input-EWEMs'!F29))</f>
        <v/>
      </c>
      <c r="F58" s="801"/>
      <c r="G58" s="802"/>
      <c r="H58" s="265" t="str">
        <f>IF('Input-EWEMs'!K29="", "", IFERROR(INDEX('Input-EWEMs'!H$52:H$61, MATCH($C58, 'Input-EWEMs'!$C$52:$C$61, 0)),'Input-EWEMs'!H29))</f>
        <v/>
      </c>
      <c r="I58" s="266" t="str">
        <f>IF('Input-EWEMs'!K29="", "", IFERROR(INDEX('Input-EWEMs'!K$52:K$61, MATCH($C58, 'Input-EWEMs'!$C$52:$C$61, 0)),'Input-EWEMs'!K29))</f>
        <v/>
      </c>
      <c r="J58" s="267" t="str">
        <f>IF('Input-EWEMs'!L29="", "", IFERROR(INDEX('Input-EWEMs'!L$52:L$61, MATCH($C58, 'Input-EWEMs'!$C$52:$C$61, 0)),'Input-EWEMs'!L29))</f>
        <v/>
      </c>
      <c r="K58" s="268" t="str">
        <f>IF('Input-EWEMs'!M29="", "", IFERROR(INDEX('Input-EWEMs'!M$52:M$61, MATCH($C58, 'Input-EWEMs'!$C$52:$C$61, 0)),'Input-EWEMs'!M29))</f>
        <v/>
      </c>
      <c r="L58" s="271" t="str">
        <f>IF('Input-EWEMs'!N29="", "", IFERROR(INDEX('Input-EWEMs'!N$52:N$61, MATCH($C58, 'Input-EWEMs'!$C$52:$C$61, 0)),'Input-EWEMs'!N29))</f>
        <v/>
      </c>
      <c r="M58" s="270" t="str">
        <f>IF('Input-EWEMs'!O29="", "", IFERROR(INDEX('Input-EWEMs'!O$52:O$61, MATCH($C58, 'Input-EWEMs'!$C$52:$C$61, 0)),'Input-EWEMs'!O29))</f>
        <v/>
      </c>
      <c r="N58" s="268" t="str">
        <f>IF('Input-EWEMs'!P29="", "", IFERROR(INDEX('Input-EWEMs'!P$52:P$61, MATCH($C58, 'Input-EWEMs'!$C$52:$C$61, 0)),'Input-EWEMs'!P29))</f>
        <v/>
      </c>
      <c r="O58" s="271" t="str">
        <f>IF('Input-EWEMs'!Q29="", "", IFERROR(INDEX('Input-EWEMs'!Q$52:Q$61, MATCH($C58, 'Input-EWEMs'!$C$52:$C$61, 0)),'Input-EWEMs'!Q29))</f>
        <v/>
      </c>
      <c r="P58" s="272">
        <f>IF('Input-EWEMs'!AB29="", "", IFERROR(INDEX('Input-EWEMs'!AB$52:AB$61, MATCH($C58, 'Input-EWEMs'!$C$52:$C$61, 0)),'Input-EWEMs'!AB29))</f>
        <v>0</v>
      </c>
      <c r="Q58" s="273">
        <f>IF('Input-EWEMs'!AC29="", "", IFERROR(INDEX('Input-EWEMs'!AC$52:AC$61, MATCH($C58, 'Input-EWEMs'!$C$52:$C$61, 0)),'Input-EWEMs'!AC29))</f>
        <v>0</v>
      </c>
      <c r="R58" s="274" t="str">
        <f>IF('Input-EWEMs'!AD29="", "", IFERROR(INDEX('Input-EWEMs'!AD$52:AD$61, MATCH($C58, 'Input-EWEMs'!$C$52:$C$61, 0)),'Input-EWEMs'!AD29))</f>
        <v/>
      </c>
      <c r="S58" s="275" t="str">
        <f>IF('Input-EWEMs'!AF29="", "", IFERROR(INDEX('Input-EWEMs'!AF$52:AF$61, MATCH($C58, 'Input-EWEMs'!$C$52:$C$61, 0)),'Input-EWEMs'!AF29))</f>
        <v/>
      </c>
      <c r="T58" s="276" t="str">
        <f>IF('Input-EWEMs'!AG29="", "", IFERROR(INDEX('Input-EWEMs'!AG$52:AG$61, MATCH($C58, 'Input-EWEMs'!$C$52:$C$61, 0)),'Input-EWEMs'!AG29))</f>
        <v/>
      </c>
    </row>
    <row r="59" spans="2:20" s="210" customFormat="1" ht="36" customHeight="1">
      <c r="B59" s="262"/>
      <c r="C59" s="277">
        <v>19</v>
      </c>
      <c r="D59" s="278" t="str">
        <f>IF(IFERROR(MATCH($C59, 'Input-EWEMs'!$C$52:$C$61, 0),0)&gt;0,"adj.","")</f>
        <v/>
      </c>
      <c r="E59" s="800" t="str">
        <f>IF('Input-EWEMs'!F30="", "", IFERROR(INDEX('Input-EWEMs'!$F$52:$F$61, MATCH($C59, 'Input-EWEMs'!$C$52:$C$61, 0)),'Input-EWEMs'!F30))</f>
        <v/>
      </c>
      <c r="F59" s="801"/>
      <c r="G59" s="802"/>
      <c r="H59" s="265" t="str">
        <f>IF('Input-EWEMs'!K30="", "", IFERROR(INDEX('Input-EWEMs'!H$52:H$61, MATCH($C59, 'Input-EWEMs'!$C$52:$C$61, 0)),'Input-EWEMs'!H30))</f>
        <v/>
      </c>
      <c r="I59" s="266" t="str">
        <f>IF('Input-EWEMs'!K30="", "", IFERROR(INDEX('Input-EWEMs'!K$52:K$61, MATCH($C59, 'Input-EWEMs'!$C$52:$C$61, 0)),'Input-EWEMs'!K30))</f>
        <v/>
      </c>
      <c r="J59" s="267" t="str">
        <f>IF('Input-EWEMs'!L30="", "", IFERROR(INDEX('Input-EWEMs'!L$52:L$61, MATCH($C59, 'Input-EWEMs'!$C$52:$C$61, 0)),'Input-EWEMs'!L30))</f>
        <v/>
      </c>
      <c r="K59" s="268" t="str">
        <f>IF('Input-EWEMs'!M30="", "", IFERROR(INDEX('Input-EWEMs'!M$52:M$61, MATCH($C59, 'Input-EWEMs'!$C$52:$C$61, 0)),'Input-EWEMs'!M30))</f>
        <v/>
      </c>
      <c r="L59" s="271" t="str">
        <f>IF('Input-EWEMs'!N30="", "", IFERROR(INDEX('Input-EWEMs'!N$52:N$61, MATCH($C59, 'Input-EWEMs'!$C$52:$C$61, 0)),'Input-EWEMs'!N30))</f>
        <v/>
      </c>
      <c r="M59" s="270" t="str">
        <f>IF('Input-EWEMs'!O30="", "", IFERROR(INDEX('Input-EWEMs'!O$52:O$61, MATCH($C59, 'Input-EWEMs'!$C$52:$C$61, 0)),'Input-EWEMs'!O30))</f>
        <v/>
      </c>
      <c r="N59" s="268" t="str">
        <f>IF('Input-EWEMs'!P30="", "", IFERROR(INDEX('Input-EWEMs'!P$52:P$61, MATCH($C59, 'Input-EWEMs'!$C$52:$C$61, 0)),'Input-EWEMs'!P30))</f>
        <v/>
      </c>
      <c r="O59" s="271" t="str">
        <f>IF('Input-EWEMs'!Q30="", "", IFERROR(INDEX('Input-EWEMs'!Q$52:Q$61, MATCH($C59, 'Input-EWEMs'!$C$52:$C$61, 0)),'Input-EWEMs'!Q30))</f>
        <v/>
      </c>
      <c r="P59" s="272">
        <f>IF('Input-EWEMs'!AB30="", "", IFERROR(INDEX('Input-EWEMs'!AB$52:AB$61, MATCH($C59, 'Input-EWEMs'!$C$52:$C$61, 0)),'Input-EWEMs'!AB30))</f>
        <v>0</v>
      </c>
      <c r="Q59" s="273">
        <f>IF('Input-EWEMs'!AC30="", "", IFERROR(INDEX('Input-EWEMs'!AC$52:AC$61, MATCH($C59, 'Input-EWEMs'!$C$52:$C$61, 0)),'Input-EWEMs'!AC30))</f>
        <v>0</v>
      </c>
      <c r="R59" s="274" t="str">
        <f>IF('Input-EWEMs'!AD30="", "", IFERROR(INDEX('Input-EWEMs'!AD$52:AD$61, MATCH($C59, 'Input-EWEMs'!$C$52:$C$61, 0)),'Input-EWEMs'!AD30))</f>
        <v/>
      </c>
      <c r="S59" s="275" t="str">
        <f>IF('Input-EWEMs'!AF30="", "", IFERROR(INDEX('Input-EWEMs'!AF$52:AF$61, MATCH($C59, 'Input-EWEMs'!$C$52:$C$61, 0)),'Input-EWEMs'!AF30))</f>
        <v/>
      </c>
      <c r="T59" s="276" t="str">
        <f>IF('Input-EWEMs'!AG30="", "", IFERROR(INDEX('Input-EWEMs'!AG$52:AG$61, MATCH($C59, 'Input-EWEMs'!$C$52:$C$61, 0)),'Input-EWEMs'!AG30))</f>
        <v/>
      </c>
    </row>
    <row r="60" spans="2:20" s="210" customFormat="1" ht="36" customHeight="1">
      <c r="B60" s="262"/>
      <c r="C60" s="277">
        <v>20</v>
      </c>
      <c r="D60" s="278" t="str">
        <f>IF(IFERROR(MATCH($C60, 'Input-EWEMs'!$C$52:$C$61, 0),0)&gt;0,"adj.","")</f>
        <v/>
      </c>
      <c r="E60" s="800" t="str">
        <f>IF('Input-EWEMs'!F31="", "", IFERROR(INDEX('Input-EWEMs'!$F$52:$F$61, MATCH($C60, 'Input-EWEMs'!$C$52:$C$61, 0)),'Input-EWEMs'!F31))</f>
        <v/>
      </c>
      <c r="F60" s="801"/>
      <c r="G60" s="802"/>
      <c r="H60" s="265" t="str">
        <f>IF('Input-EWEMs'!K31="", "", IFERROR(INDEX('Input-EWEMs'!H$52:H$61, MATCH($C60, 'Input-EWEMs'!$C$52:$C$61, 0)),'Input-EWEMs'!H31))</f>
        <v/>
      </c>
      <c r="I60" s="266" t="str">
        <f>IF('Input-EWEMs'!K31="", "", IFERROR(INDEX('Input-EWEMs'!K$52:K$61, MATCH($C60, 'Input-EWEMs'!$C$52:$C$61, 0)),'Input-EWEMs'!K31))</f>
        <v/>
      </c>
      <c r="J60" s="267" t="str">
        <f>IF('Input-EWEMs'!L31="", "", IFERROR(INDEX('Input-EWEMs'!L$52:L$61, MATCH($C60, 'Input-EWEMs'!$C$52:$C$61, 0)),'Input-EWEMs'!L31))</f>
        <v/>
      </c>
      <c r="K60" s="268" t="str">
        <f>IF('Input-EWEMs'!M31="", "", IFERROR(INDEX('Input-EWEMs'!M$52:M$61, MATCH($C60, 'Input-EWEMs'!$C$52:$C$61, 0)),'Input-EWEMs'!M31))</f>
        <v/>
      </c>
      <c r="L60" s="271" t="str">
        <f>IF('Input-EWEMs'!N31="", "", IFERROR(INDEX('Input-EWEMs'!N$52:N$61, MATCH($C60, 'Input-EWEMs'!$C$52:$C$61, 0)),'Input-EWEMs'!N31))</f>
        <v/>
      </c>
      <c r="M60" s="270" t="str">
        <f>IF('Input-EWEMs'!O31="", "", IFERROR(INDEX('Input-EWEMs'!O$52:O$61, MATCH($C60, 'Input-EWEMs'!$C$52:$C$61, 0)),'Input-EWEMs'!O31))</f>
        <v/>
      </c>
      <c r="N60" s="268" t="str">
        <f>IF('Input-EWEMs'!P31="", "", IFERROR(INDEX('Input-EWEMs'!P$52:P$61, MATCH($C60, 'Input-EWEMs'!$C$52:$C$61, 0)),'Input-EWEMs'!P31))</f>
        <v/>
      </c>
      <c r="O60" s="271" t="str">
        <f>IF('Input-EWEMs'!Q31="", "", IFERROR(INDEX('Input-EWEMs'!Q$52:Q$61, MATCH($C60, 'Input-EWEMs'!$C$52:$C$61, 0)),'Input-EWEMs'!Q31))</f>
        <v/>
      </c>
      <c r="P60" s="272">
        <f>IF('Input-EWEMs'!AB31="", "", IFERROR(INDEX('Input-EWEMs'!AB$52:AB$61, MATCH($C60, 'Input-EWEMs'!$C$52:$C$61, 0)),'Input-EWEMs'!AB31))</f>
        <v>0</v>
      </c>
      <c r="Q60" s="273">
        <f>IF('Input-EWEMs'!AC31="", "", IFERROR(INDEX('Input-EWEMs'!AC$52:AC$61, MATCH($C60, 'Input-EWEMs'!$C$52:$C$61, 0)),'Input-EWEMs'!AC31))</f>
        <v>0</v>
      </c>
      <c r="R60" s="274" t="str">
        <f>IF('Input-EWEMs'!AD31="", "", IFERROR(INDEX('Input-EWEMs'!AD$52:AD$61, MATCH($C60, 'Input-EWEMs'!$C$52:$C$61, 0)),'Input-EWEMs'!AD31))</f>
        <v/>
      </c>
      <c r="S60" s="275" t="str">
        <f>IF('Input-EWEMs'!AF31="", "", IFERROR(INDEX('Input-EWEMs'!AF$52:AF$61, MATCH($C60, 'Input-EWEMs'!$C$52:$C$61, 0)),'Input-EWEMs'!AF31))</f>
        <v/>
      </c>
      <c r="T60" s="276" t="str">
        <f>IF('Input-EWEMs'!AG31="", "", IFERROR(INDEX('Input-EWEMs'!AG$52:AG$61, MATCH($C60, 'Input-EWEMs'!$C$52:$C$61, 0)),'Input-EWEMs'!AG31))</f>
        <v/>
      </c>
    </row>
    <row r="61" spans="2:20" s="210" customFormat="1" ht="36" customHeight="1">
      <c r="B61" s="262"/>
      <c r="C61" s="277">
        <v>21</v>
      </c>
      <c r="D61" s="278" t="str">
        <f>IF(IFERROR(MATCH($C61, 'Input-EWEMs'!$C$52:$C$61, 0),0)&gt;0,"adj.","")</f>
        <v/>
      </c>
      <c r="E61" s="800" t="str">
        <f>IF('Input-EWEMs'!F32="", "", IFERROR(INDEX('Input-EWEMs'!$F$52:$F$61, MATCH($C61, 'Input-EWEMs'!$C$52:$C$61, 0)),'Input-EWEMs'!F32))</f>
        <v/>
      </c>
      <c r="F61" s="801"/>
      <c r="G61" s="802"/>
      <c r="H61" s="265" t="str">
        <f>IF('Input-EWEMs'!K32="", "", IFERROR(INDEX('Input-EWEMs'!H$52:H$61, MATCH($C61, 'Input-EWEMs'!$C$52:$C$61, 0)),'Input-EWEMs'!H32))</f>
        <v/>
      </c>
      <c r="I61" s="266" t="str">
        <f>IF('Input-EWEMs'!K32="", "", IFERROR(INDEX('Input-EWEMs'!K$52:K$61, MATCH($C61, 'Input-EWEMs'!$C$52:$C$61, 0)),'Input-EWEMs'!K32))</f>
        <v/>
      </c>
      <c r="J61" s="267" t="str">
        <f>IF('Input-EWEMs'!L32="", "", IFERROR(INDEX('Input-EWEMs'!L$52:L$61, MATCH($C61, 'Input-EWEMs'!$C$52:$C$61, 0)),'Input-EWEMs'!L32))</f>
        <v/>
      </c>
      <c r="K61" s="268" t="str">
        <f>IF('Input-EWEMs'!M32="", "", IFERROR(INDEX('Input-EWEMs'!M$52:M$61, MATCH($C61, 'Input-EWEMs'!$C$52:$C$61, 0)),'Input-EWEMs'!M32))</f>
        <v/>
      </c>
      <c r="L61" s="271" t="str">
        <f>IF('Input-EWEMs'!N32="", "", IFERROR(INDEX('Input-EWEMs'!N$52:N$61, MATCH($C61, 'Input-EWEMs'!$C$52:$C$61, 0)),'Input-EWEMs'!N32))</f>
        <v/>
      </c>
      <c r="M61" s="270" t="str">
        <f>IF('Input-EWEMs'!O32="", "", IFERROR(INDEX('Input-EWEMs'!O$52:O$61, MATCH($C61, 'Input-EWEMs'!$C$52:$C$61, 0)),'Input-EWEMs'!O32))</f>
        <v/>
      </c>
      <c r="N61" s="268" t="str">
        <f>IF('Input-EWEMs'!P32="", "", IFERROR(INDEX('Input-EWEMs'!P$52:P$61, MATCH($C61, 'Input-EWEMs'!$C$52:$C$61, 0)),'Input-EWEMs'!P32))</f>
        <v/>
      </c>
      <c r="O61" s="271" t="str">
        <f>IF('Input-EWEMs'!Q32="", "", IFERROR(INDEX('Input-EWEMs'!Q$52:Q$61, MATCH($C61, 'Input-EWEMs'!$C$52:$C$61, 0)),'Input-EWEMs'!Q32))</f>
        <v/>
      </c>
      <c r="P61" s="272">
        <f>IF('Input-EWEMs'!AB32="", "", IFERROR(INDEX('Input-EWEMs'!AB$52:AB$61, MATCH($C61, 'Input-EWEMs'!$C$52:$C$61, 0)),'Input-EWEMs'!AB32))</f>
        <v>0</v>
      </c>
      <c r="Q61" s="273">
        <f>IF('Input-EWEMs'!AC32="", "", IFERROR(INDEX('Input-EWEMs'!AC$52:AC$61, MATCH($C61, 'Input-EWEMs'!$C$52:$C$61, 0)),'Input-EWEMs'!AC32))</f>
        <v>0</v>
      </c>
      <c r="R61" s="274" t="str">
        <f>IF('Input-EWEMs'!AD32="", "", IFERROR(INDEX('Input-EWEMs'!AD$52:AD$61, MATCH($C61, 'Input-EWEMs'!$C$52:$C$61, 0)),'Input-EWEMs'!AD32))</f>
        <v/>
      </c>
      <c r="S61" s="275" t="str">
        <f>IF('Input-EWEMs'!AF32="", "", IFERROR(INDEX('Input-EWEMs'!AF$52:AF$61, MATCH($C61, 'Input-EWEMs'!$C$52:$C$61, 0)),'Input-EWEMs'!AF32))</f>
        <v/>
      </c>
      <c r="T61" s="276" t="str">
        <f>IF('Input-EWEMs'!AG32="", "", IFERROR(INDEX('Input-EWEMs'!AG$52:AG$61, MATCH($C61, 'Input-EWEMs'!$C$52:$C$61, 0)),'Input-EWEMs'!AG32))</f>
        <v/>
      </c>
    </row>
    <row r="62" spans="2:20" s="210" customFormat="1" ht="36" customHeight="1">
      <c r="B62" s="262"/>
      <c r="C62" s="277">
        <v>22</v>
      </c>
      <c r="D62" s="278" t="str">
        <f>IF(IFERROR(MATCH($C62, 'Input-EWEMs'!$C$52:$C$61, 0),0)&gt;0,"adj.","")</f>
        <v/>
      </c>
      <c r="E62" s="800" t="str">
        <f>IF('Input-EWEMs'!F33="", "", IFERROR(INDEX('Input-EWEMs'!$F$52:$F$61, MATCH($C62, 'Input-EWEMs'!$C$52:$C$61, 0)),'Input-EWEMs'!F33))</f>
        <v/>
      </c>
      <c r="F62" s="801"/>
      <c r="G62" s="802"/>
      <c r="H62" s="265" t="str">
        <f>IF('Input-EWEMs'!K33="", "", IFERROR(INDEX('Input-EWEMs'!H$52:H$61, MATCH($C62, 'Input-EWEMs'!$C$52:$C$61, 0)),'Input-EWEMs'!H33))</f>
        <v/>
      </c>
      <c r="I62" s="266" t="str">
        <f>IF('Input-EWEMs'!K33="", "", IFERROR(INDEX('Input-EWEMs'!K$52:K$61, MATCH($C62, 'Input-EWEMs'!$C$52:$C$61, 0)),'Input-EWEMs'!K33))</f>
        <v/>
      </c>
      <c r="J62" s="267" t="str">
        <f>IF('Input-EWEMs'!L33="", "", IFERROR(INDEX('Input-EWEMs'!L$52:L$61, MATCH($C62, 'Input-EWEMs'!$C$52:$C$61, 0)),'Input-EWEMs'!L33))</f>
        <v/>
      </c>
      <c r="K62" s="268" t="str">
        <f>IF('Input-EWEMs'!M33="", "", IFERROR(INDEX('Input-EWEMs'!M$52:M$61, MATCH($C62, 'Input-EWEMs'!$C$52:$C$61, 0)),'Input-EWEMs'!M33))</f>
        <v/>
      </c>
      <c r="L62" s="271" t="str">
        <f>IF('Input-EWEMs'!N33="", "", IFERROR(INDEX('Input-EWEMs'!N$52:N$61, MATCH($C62, 'Input-EWEMs'!$C$52:$C$61, 0)),'Input-EWEMs'!N33))</f>
        <v/>
      </c>
      <c r="M62" s="270" t="str">
        <f>IF('Input-EWEMs'!O33="", "", IFERROR(INDEX('Input-EWEMs'!O$52:O$61, MATCH($C62, 'Input-EWEMs'!$C$52:$C$61, 0)),'Input-EWEMs'!O33))</f>
        <v/>
      </c>
      <c r="N62" s="268" t="str">
        <f>IF('Input-EWEMs'!P33="", "", IFERROR(INDEX('Input-EWEMs'!P$52:P$61, MATCH($C62, 'Input-EWEMs'!$C$52:$C$61, 0)),'Input-EWEMs'!P33))</f>
        <v/>
      </c>
      <c r="O62" s="271" t="str">
        <f>IF('Input-EWEMs'!Q33="", "", IFERROR(INDEX('Input-EWEMs'!Q$52:Q$61, MATCH($C62, 'Input-EWEMs'!$C$52:$C$61, 0)),'Input-EWEMs'!Q33))</f>
        <v/>
      </c>
      <c r="P62" s="272">
        <f>IF('Input-EWEMs'!AB33="", "", IFERROR(INDEX('Input-EWEMs'!AB$52:AB$61, MATCH($C62, 'Input-EWEMs'!$C$52:$C$61, 0)),'Input-EWEMs'!AB33))</f>
        <v>0</v>
      </c>
      <c r="Q62" s="273">
        <f>IF('Input-EWEMs'!AC33="", "", IFERROR(INDEX('Input-EWEMs'!AC$52:AC$61, MATCH($C62, 'Input-EWEMs'!$C$52:$C$61, 0)),'Input-EWEMs'!AC33))</f>
        <v>0</v>
      </c>
      <c r="R62" s="274" t="str">
        <f>IF('Input-EWEMs'!AD33="", "", IFERROR(INDEX('Input-EWEMs'!AD$52:AD$61, MATCH($C62, 'Input-EWEMs'!$C$52:$C$61, 0)),'Input-EWEMs'!AD33))</f>
        <v/>
      </c>
      <c r="S62" s="275" t="str">
        <f>IF('Input-EWEMs'!AF33="", "", IFERROR(INDEX('Input-EWEMs'!AF$52:AF$61, MATCH($C62, 'Input-EWEMs'!$C$52:$C$61, 0)),'Input-EWEMs'!AF33))</f>
        <v/>
      </c>
      <c r="T62" s="276" t="str">
        <f>IF('Input-EWEMs'!AG33="", "", IFERROR(INDEX('Input-EWEMs'!AG$52:AG$61, MATCH($C62, 'Input-EWEMs'!$C$52:$C$61, 0)),'Input-EWEMs'!AG33))</f>
        <v/>
      </c>
    </row>
    <row r="63" spans="2:20" s="210" customFormat="1" ht="36" customHeight="1">
      <c r="B63" s="262"/>
      <c r="C63" s="277">
        <v>23</v>
      </c>
      <c r="D63" s="278" t="str">
        <f>IF(IFERROR(MATCH($C63, 'Input-EWEMs'!$C$52:$C$61, 0),0)&gt;0,"adj.","")</f>
        <v/>
      </c>
      <c r="E63" s="800" t="str">
        <f>IF('Input-EWEMs'!F34="", "", IFERROR(INDEX('Input-EWEMs'!$F$52:$F$61, MATCH($C63, 'Input-EWEMs'!$C$52:$C$61, 0)),'Input-EWEMs'!F34))</f>
        <v/>
      </c>
      <c r="F63" s="801"/>
      <c r="G63" s="802"/>
      <c r="H63" s="265" t="str">
        <f>IF('Input-EWEMs'!K34="", "", IFERROR(INDEX('Input-EWEMs'!H$52:H$61, MATCH($C63, 'Input-EWEMs'!$C$52:$C$61, 0)),'Input-EWEMs'!H34))</f>
        <v/>
      </c>
      <c r="I63" s="266" t="str">
        <f>IF('Input-EWEMs'!K34="", "", IFERROR(INDEX('Input-EWEMs'!K$52:K$61, MATCH($C63, 'Input-EWEMs'!$C$52:$C$61, 0)),'Input-EWEMs'!K34))</f>
        <v/>
      </c>
      <c r="J63" s="267" t="str">
        <f>IF('Input-EWEMs'!L34="", "", IFERROR(INDEX('Input-EWEMs'!L$52:L$61, MATCH($C63, 'Input-EWEMs'!$C$52:$C$61, 0)),'Input-EWEMs'!L34))</f>
        <v/>
      </c>
      <c r="K63" s="268" t="str">
        <f>IF('Input-EWEMs'!M34="", "", IFERROR(INDEX('Input-EWEMs'!M$52:M$61, MATCH($C63, 'Input-EWEMs'!$C$52:$C$61, 0)),'Input-EWEMs'!M34))</f>
        <v/>
      </c>
      <c r="L63" s="271" t="str">
        <f>IF('Input-EWEMs'!N34="", "", IFERROR(INDEX('Input-EWEMs'!N$52:N$61, MATCH($C63, 'Input-EWEMs'!$C$52:$C$61, 0)),'Input-EWEMs'!N34))</f>
        <v/>
      </c>
      <c r="M63" s="270" t="str">
        <f>IF('Input-EWEMs'!O34="", "", IFERROR(INDEX('Input-EWEMs'!O$52:O$61, MATCH($C63, 'Input-EWEMs'!$C$52:$C$61, 0)),'Input-EWEMs'!O34))</f>
        <v/>
      </c>
      <c r="N63" s="268" t="str">
        <f>IF('Input-EWEMs'!P34="", "", IFERROR(INDEX('Input-EWEMs'!P$52:P$61, MATCH($C63, 'Input-EWEMs'!$C$52:$C$61, 0)),'Input-EWEMs'!P34))</f>
        <v/>
      </c>
      <c r="O63" s="271" t="str">
        <f>IF('Input-EWEMs'!Q34="", "", IFERROR(INDEX('Input-EWEMs'!Q$52:Q$61, MATCH($C63, 'Input-EWEMs'!$C$52:$C$61, 0)),'Input-EWEMs'!Q34))</f>
        <v/>
      </c>
      <c r="P63" s="272">
        <f>IF('Input-EWEMs'!AB34="", "", IFERROR(INDEX('Input-EWEMs'!AB$52:AB$61, MATCH($C63, 'Input-EWEMs'!$C$52:$C$61, 0)),'Input-EWEMs'!AB34))</f>
        <v>0</v>
      </c>
      <c r="Q63" s="273">
        <f>IF('Input-EWEMs'!AC34="", "", IFERROR(INDEX('Input-EWEMs'!AC$52:AC$61, MATCH($C63, 'Input-EWEMs'!$C$52:$C$61, 0)),'Input-EWEMs'!AC34))</f>
        <v>0</v>
      </c>
      <c r="R63" s="274" t="str">
        <f>IF('Input-EWEMs'!AD34="", "", IFERROR(INDEX('Input-EWEMs'!AD$52:AD$61, MATCH($C63, 'Input-EWEMs'!$C$52:$C$61, 0)),'Input-EWEMs'!AD34))</f>
        <v/>
      </c>
      <c r="S63" s="275" t="str">
        <f>IF('Input-EWEMs'!AF34="", "", IFERROR(INDEX('Input-EWEMs'!AF$52:AF$61, MATCH($C63, 'Input-EWEMs'!$C$52:$C$61, 0)),'Input-EWEMs'!AF34))</f>
        <v/>
      </c>
      <c r="T63" s="276" t="str">
        <f>IF('Input-EWEMs'!AG34="", "", IFERROR(INDEX('Input-EWEMs'!AG$52:AG$61, MATCH($C63, 'Input-EWEMs'!$C$52:$C$61, 0)),'Input-EWEMs'!AG34))</f>
        <v/>
      </c>
    </row>
    <row r="64" spans="2:20" s="210" customFormat="1" ht="36" customHeight="1">
      <c r="B64" s="262"/>
      <c r="C64" s="277">
        <v>24</v>
      </c>
      <c r="D64" s="278" t="str">
        <f>IF(IFERROR(MATCH($C64, 'Input-EWEMs'!$C$52:$C$61, 0),0)&gt;0,"adj.","")</f>
        <v/>
      </c>
      <c r="E64" s="800" t="str">
        <f>IF('Input-EWEMs'!F35="", "", IFERROR(INDEX('Input-EWEMs'!$F$52:$F$61, MATCH($C64, 'Input-EWEMs'!$C$52:$C$61, 0)),'Input-EWEMs'!F35))</f>
        <v/>
      </c>
      <c r="F64" s="801"/>
      <c r="G64" s="802"/>
      <c r="H64" s="265" t="str">
        <f>IF('Input-EWEMs'!K35="", "", IFERROR(INDEX('Input-EWEMs'!H$52:H$61, MATCH($C64, 'Input-EWEMs'!$C$52:$C$61, 0)),'Input-EWEMs'!H35))</f>
        <v/>
      </c>
      <c r="I64" s="266" t="str">
        <f>IF('Input-EWEMs'!K35="", "", IFERROR(INDEX('Input-EWEMs'!K$52:K$61, MATCH($C64, 'Input-EWEMs'!$C$52:$C$61, 0)),'Input-EWEMs'!K35))</f>
        <v/>
      </c>
      <c r="J64" s="267" t="str">
        <f>IF('Input-EWEMs'!L35="", "", IFERROR(INDEX('Input-EWEMs'!L$52:L$61, MATCH($C64, 'Input-EWEMs'!$C$52:$C$61, 0)),'Input-EWEMs'!L35))</f>
        <v/>
      </c>
      <c r="K64" s="268" t="str">
        <f>IF('Input-EWEMs'!M35="", "", IFERROR(INDEX('Input-EWEMs'!M$52:M$61, MATCH($C64, 'Input-EWEMs'!$C$52:$C$61, 0)),'Input-EWEMs'!M35))</f>
        <v/>
      </c>
      <c r="L64" s="271" t="str">
        <f>IF('Input-EWEMs'!N35="", "", IFERROR(INDEX('Input-EWEMs'!N$52:N$61, MATCH($C64, 'Input-EWEMs'!$C$52:$C$61, 0)),'Input-EWEMs'!N35))</f>
        <v/>
      </c>
      <c r="M64" s="270" t="str">
        <f>IF('Input-EWEMs'!O35="", "", IFERROR(INDEX('Input-EWEMs'!O$52:O$61, MATCH($C64, 'Input-EWEMs'!$C$52:$C$61, 0)),'Input-EWEMs'!O35))</f>
        <v/>
      </c>
      <c r="N64" s="268" t="str">
        <f>IF('Input-EWEMs'!P35="", "", IFERROR(INDEX('Input-EWEMs'!P$52:P$61, MATCH($C64, 'Input-EWEMs'!$C$52:$C$61, 0)),'Input-EWEMs'!P35))</f>
        <v/>
      </c>
      <c r="O64" s="271" t="str">
        <f>IF('Input-EWEMs'!Q35="", "", IFERROR(INDEX('Input-EWEMs'!Q$52:Q$61, MATCH($C64, 'Input-EWEMs'!$C$52:$C$61, 0)),'Input-EWEMs'!Q35))</f>
        <v/>
      </c>
      <c r="P64" s="272">
        <f>IF('Input-EWEMs'!AB35="", "", IFERROR(INDEX('Input-EWEMs'!AB$52:AB$61, MATCH($C64, 'Input-EWEMs'!$C$52:$C$61, 0)),'Input-EWEMs'!AB35))</f>
        <v>0</v>
      </c>
      <c r="Q64" s="273">
        <f>IF('Input-EWEMs'!AC35="", "", IFERROR(INDEX('Input-EWEMs'!AC$52:AC$61, MATCH($C64, 'Input-EWEMs'!$C$52:$C$61, 0)),'Input-EWEMs'!AC35))</f>
        <v>0</v>
      </c>
      <c r="R64" s="274" t="str">
        <f>IF('Input-EWEMs'!AD35="", "", IFERROR(INDEX('Input-EWEMs'!AD$52:AD$61, MATCH($C64, 'Input-EWEMs'!$C$52:$C$61, 0)),'Input-EWEMs'!AD35))</f>
        <v/>
      </c>
      <c r="S64" s="275" t="str">
        <f>IF('Input-EWEMs'!AF35="", "", IFERROR(INDEX('Input-EWEMs'!AF$52:AF$61, MATCH($C64, 'Input-EWEMs'!$C$52:$C$61, 0)),'Input-EWEMs'!AF35))</f>
        <v/>
      </c>
      <c r="T64" s="276" t="str">
        <f>IF('Input-EWEMs'!AG35="", "", IFERROR(INDEX('Input-EWEMs'!AG$52:AG$61, MATCH($C64, 'Input-EWEMs'!$C$52:$C$61, 0)),'Input-EWEMs'!AG35))</f>
        <v/>
      </c>
    </row>
    <row r="65" spans="2:20" s="210" customFormat="1" ht="36" customHeight="1">
      <c r="B65" s="262"/>
      <c r="C65" s="277">
        <v>25</v>
      </c>
      <c r="D65" s="278" t="str">
        <f>IF(IFERROR(MATCH($C65, 'Input-EWEMs'!$C$52:$C$61, 0),0)&gt;0,"adj.","")</f>
        <v/>
      </c>
      <c r="E65" s="800" t="str">
        <f>IF('Input-EWEMs'!F36="", "", IFERROR(INDEX('Input-EWEMs'!$F$52:$F$61, MATCH($C65, 'Input-EWEMs'!$C$52:$C$61, 0)),'Input-EWEMs'!F36))</f>
        <v/>
      </c>
      <c r="F65" s="801"/>
      <c r="G65" s="802"/>
      <c r="H65" s="265" t="str">
        <f>IF('Input-EWEMs'!K36="", "", IFERROR(INDEX('Input-EWEMs'!H$52:H$61, MATCH($C65, 'Input-EWEMs'!$C$52:$C$61, 0)),'Input-EWEMs'!H36))</f>
        <v/>
      </c>
      <c r="I65" s="266" t="str">
        <f>IF('Input-EWEMs'!K36="", "", IFERROR(INDEX('Input-EWEMs'!K$52:K$61, MATCH($C65, 'Input-EWEMs'!$C$52:$C$61, 0)),'Input-EWEMs'!K36))</f>
        <v/>
      </c>
      <c r="J65" s="267" t="str">
        <f>IF('Input-EWEMs'!L36="", "", IFERROR(INDEX('Input-EWEMs'!L$52:L$61, MATCH($C65, 'Input-EWEMs'!$C$52:$C$61, 0)),'Input-EWEMs'!L36))</f>
        <v/>
      </c>
      <c r="K65" s="268" t="str">
        <f>IF('Input-EWEMs'!M36="", "", IFERROR(INDEX('Input-EWEMs'!M$52:M$61, MATCH($C65, 'Input-EWEMs'!$C$52:$C$61, 0)),'Input-EWEMs'!M36))</f>
        <v/>
      </c>
      <c r="L65" s="271" t="str">
        <f>IF('Input-EWEMs'!N36="", "", IFERROR(INDEX('Input-EWEMs'!N$52:N$61, MATCH($C65, 'Input-EWEMs'!$C$52:$C$61, 0)),'Input-EWEMs'!N36))</f>
        <v/>
      </c>
      <c r="M65" s="270" t="str">
        <f>IF('Input-EWEMs'!O36="", "", IFERROR(INDEX('Input-EWEMs'!O$52:O$61, MATCH($C65, 'Input-EWEMs'!$C$52:$C$61, 0)),'Input-EWEMs'!O36))</f>
        <v/>
      </c>
      <c r="N65" s="268" t="str">
        <f>IF('Input-EWEMs'!P36="", "", IFERROR(INDEX('Input-EWEMs'!P$52:P$61, MATCH($C65, 'Input-EWEMs'!$C$52:$C$61, 0)),'Input-EWEMs'!P36))</f>
        <v/>
      </c>
      <c r="O65" s="271" t="str">
        <f>IF('Input-EWEMs'!Q36="", "", IFERROR(INDEX('Input-EWEMs'!Q$52:Q$61, MATCH($C65, 'Input-EWEMs'!$C$52:$C$61, 0)),'Input-EWEMs'!Q36))</f>
        <v/>
      </c>
      <c r="P65" s="272">
        <f>IF('Input-EWEMs'!AB36="", "", IFERROR(INDEX('Input-EWEMs'!AB$52:AB$61, MATCH($C65, 'Input-EWEMs'!$C$52:$C$61, 0)),'Input-EWEMs'!AB36))</f>
        <v>0</v>
      </c>
      <c r="Q65" s="273">
        <f>IF('Input-EWEMs'!AC36="", "", IFERROR(INDEX('Input-EWEMs'!AC$52:AC$61, MATCH($C65, 'Input-EWEMs'!$C$52:$C$61, 0)),'Input-EWEMs'!AC36))</f>
        <v>0</v>
      </c>
      <c r="R65" s="274" t="str">
        <f>IF('Input-EWEMs'!AD36="", "", IFERROR(INDEX('Input-EWEMs'!AD$52:AD$61, MATCH($C65, 'Input-EWEMs'!$C$52:$C$61, 0)),'Input-EWEMs'!AD36))</f>
        <v/>
      </c>
      <c r="S65" s="275" t="str">
        <f>IF('Input-EWEMs'!AF36="", "", IFERROR(INDEX('Input-EWEMs'!AF$52:AF$61, MATCH($C65, 'Input-EWEMs'!$C$52:$C$61, 0)),'Input-EWEMs'!AF36))</f>
        <v/>
      </c>
      <c r="T65" s="276" t="str">
        <f>IF('Input-EWEMs'!AG36="", "", IFERROR(INDEX('Input-EWEMs'!AG$52:AG$61, MATCH($C65, 'Input-EWEMs'!$C$52:$C$61, 0)),'Input-EWEMs'!AG36))</f>
        <v/>
      </c>
    </row>
    <row r="66" spans="2:20" s="210" customFormat="1" ht="36" customHeight="1">
      <c r="B66" s="262"/>
      <c r="C66" s="277">
        <v>26</v>
      </c>
      <c r="D66" s="278" t="str">
        <f>IF(IFERROR(MATCH($C66, 'Input-EWEMs'!$C$52:$C$61, 0),0)&gt;0,"adj.","")</f>
        <v/>
      </c>
      <c r="E66" s="800" t="str">
        <f>IF('Input-EWEMs'!F37="", "", IFERROR(INDEX('Input-EWEMs'!$F$52:$F$61, MATCH($C66, 'Input-EWEMs'!$C$52:$C$61, 0)),'Input-EWEMs'!F37))</f>
        <v/>
      </c>
      <c r="F66" s="801"/>
      <c r="G66" s="802"/>
      <c r="H66" s="265" t="str">
        <f>IF('Input-EWEMs'!K37="", "", IFERROR(INDEX('Input-EWEMs'!H$52:H$61, MATCH($C66, 'Input-EWEMs'!$C$52:$C$61, 0)),'Input-EWEMs'!H37))</f>
        <v/>
      </c>
      <c r="I66" s="266" t="str">
        <f>IF('Input-EWEMs'!K37="", "", IFERROR(INDEX('Input-EWEMs'!K$52:K$61, MATCH($C66, 'Input-EWEMs'!$C$52:$C$61, 0)),'Input-EWEMs'!K37))</f>
        <v/>
      </c>
      <c r="J66" s="267" t="str">
        <f>IF('Input-EWEMs'!L37="", "", IFERROR(INDEX('Input-EWEMs'!L$52:L$61, MATCH($C66, 'Input-EWEMs'!$C$52:$C$61, 0)),'Input-EWEMs'!L37))</f>
        <v/>
      </c>
      <c r="K66" s="268" t="str">
        <f>IF('Input-EWEMs'!M37="", "", IFERROR(INDEX('Input-EWEMs'!M$52:M$61, MATCH($C66, 'Input-EWEMs'!$C$52:$C$61, 0)),'Input-EWEMs'!M37))</f>
        <v/>
      </c>
      <c r="L66" s="271" t="str">
        <f>IF('Input-EWEMs'!N37="", "", IFERROR(INDEX('Input-EWEMs'!N$52:N$61, MATCH($C66, 'Input-EWEMs'!$C$52:$C$61, 0)),'Input-EWEMs'!N37))</f>
        <v/>
      </c>
      <c r="M66" s="270" t="str">
        <f>IF('Input-EWEMs'!O37="", "", IFERROR(INDEX('Input-EWEMs'!O$52:O$61, MATCH($C66, 'Input-EWEMs'!$C$52:$C$61, 0)),'Input-EWEMs'!O37))</f>
        <v/>
      </c>
      <c r="N66" s="268" t="str">
        <f>IF('Input-EWEMs'!P37="", "", IFERROR(INDEX('Input-EWEMs'!P$52:P$61, MATCH($C66, 'Input-EWEMs'!$C$52:$C$61, 0)),'Input-EWEMs'!P37))</f>
        <v/>
      </c>
      <c r="O66" s="271" t="str">
        <f>IF('Input-EWEMs'!Q37="", "", IFERROR(INDEX('Input-EWEMs'!Q$52:Q$61, MATCH($C66, 'Input-EWEMs'!$C$52:$C$61, 0)),'Input-EWEMs'!Q37))</f>
        <v/>
      </c>
      <c r="P66" s="272">
        <f>IF('Input-EWEMs'!AB37="", "", IFERROR(INDEX('Input-EWEMs'!AB$52:AB$61, MATCH($C66, 'Input-EWEMs'!$C$52:$C$61, 0)),'Input-EWEMs'!AB37))</f>
        <v>0</v>
      </c>
      <c r="Q66" s="273">
        <f>IF('Input-EWEMs'!AC37="", "", IFERROR(INDEX('Input-EWEMs'!AC$52:AC$61, MATCH($C66, 'Input-EWEMs'!$C$52:$C$61, 0)),'Input-EWEMs'!AC37))</f>
        <v>0</v>
      </c>
      <c r="R66" s="274" t="str">
        <f>IF('Input-EWEMs'!AD37="", "", IFERROR(INDEX('Input-EWEMs'!AD$52:AD$61, MATCH($C66, 'Input-EWEMs'!$C$52:$C$61, 0)),'Input-EWEMs'!AD37))</f>
        <v/>
      </c>
      <c r="S66" s="275" t="str">
        <f>IF('Input-EWEMs'!AF37="", "", IFERROR(INDEX('Input-EWEMs'!AF$52:AF$61, MATCH($C66, 'Input-EWEMs'!$C$52:$C$61, 0)),'Input-EWEMs'!AF37))</f>
        <v/>
      </c>
      <c r="T66" s="276" t="str">
        <f>IF('Input-EWEMs'!AG37="", "", IFERROR(INDEX('Input-EWEMs'!AG$52:AG$61, MATCH($C66, 'Input-EWEMs'!$C$52:$C$61, 0)),'Input-EWEMs'!AG37))</f>
        <v/>
      </c>
    </row>
    <row r="67" spans="2:20" s="210" customFormat="1" ht="36" customHeight="1">
      <c r="B67" s="262"/>
      <c r="C67" s="277">
        <v>27</v>
      </c>
      <c r="D67" s="278" t="str">
        <f>IF(IFERROR(MATCH($C67, 'Input-EWEMs'!$C$52:$C$61, 0),0)&gt;0,"adj.","")</f>
        <v/>
      </c>
      <c r="E67" s="800" t="str">
        <f>IF('Input-EWEMs'!F38="", "", IFERROR(INDEX('Input-EWEMs'!$F$52:$F$61, MATCH($C67, 'Input-EWEMs'!$C$52:$C$61, 0)),'Input-EWEMs'!F38))</f>
        <v/>
      </c>
      <c r="F67" s="801"/>
      <c r="G67" s="802"/>
      <c r="H67" s="265" t="str">
        <f>IF('Input-EWEMs'!K38="", "", IFERROR(INDEX('Input-EWEMs'!H$52:H$61, MATCH($C67, 'Input-EWEMs'!$C$52:$C$61, 0)),'Input-EWEMs'!H38))</f>
        <v/>
      </c>
      <c r="I67" s="266" t="str">
        <f>IF('Input-EWEMs'!K38="", "", IFERROR(INDEX('Input-EWEMs'!K$52:K$61, MATCH($C67, 'Input-EWEMs'!$C$52:$C$61, 0)),'Input-EWEMs'!K38))</f>
        <v/>
      </c>
      <c r="J67" s="267" t="str">
        <f>IF('Input-EWEMs'!L38="", "", IFERROR(INDEX('Input-EWEMs'!L$52:L$61, MATCH($C67, 'Input-EWEMs'!$C$52:$C$61, 0)),'Input-EWEMs'!L38))</f>
        <v/>
      </c>
      <c r="K67" s="268" t="str">
        <f>IF('Input-EWEMs'!M38="", "", IFERROR(INDEX('Input-EWEMs'!M$52:M$61, MATCH($C67, 'Input-EWEMs'!$C$52:$C$61, 0)),'Input-EWEMs'!M38))</f>
        <v/>
      </c>
      <c r="L67" s="271" t="str">
        <f>IF('Input-EWEMs'!N38="", "", IFERROR(INDEX('Input-EWEMs'!N$52:N$61, MATCH($C67, 'Input-EWEMs'!$C$52:$C$61, 0)),'Input-EWEMs'!N38))</f>
        <v/>
      </c>
      <c r="M67" s="270" t="str">
        <f>IF('Input-EWEMs'!O38="", "", IFERROR(INDEX('Input-EWEMs'!O$52:O$61, MATCH($C67, 'Input-EWEMs'!$C$52:$C$61, 0)),'Input-EWEMs'!O38))</f>
        <v/>
      </c>
      <c r="N67" s="268" t="str">
        <f>IF('Input-EWEMs'!P38="", "", IFERROR(INDEX('Input-EWEMs'!P$52:P$61, MATCH($C67, 'Input-EWEMs'!$C$52:$C$61, 0)),'Input-EWEMs'!P38))</f>
        <v/>
      </c>
      <c r="O67" s="271" t="str">
        <f>IF('Input-EWEMs'!Q38="", "", IFERROR(INDEX('Input-EWEMs'!Q$52:Q$61, MATCH($C67, 'Input-EWEMs'!$C$52:$C$61, 0)),'Input-EWEMs'!Q38))</f>
        <v/>
      </c>
      <c r="P67" s="272">
        <f>IF('Input-EWEMs'!AB38="", "", IFERROR(INDEX('Input-EWEMs'!AB$52:AB$61, MATCH($C67, 'Input-EWEMs'!$C$52:$C$61, 0)),'Input-EWEMs'!AB38))</f>
        <v>0</v>
      </c>
      <c r="Q67" s="273">
        <f>IF('Input-EWEMs'!AC38="", "", IFERROR(INDEX('Input-EWEMs'!AC$52:AC$61, MATCH($C67, 'Input-EWEMs'!$C$52:$C$61, 0)),'Input-EWEMs'!AC38))</f>
        <v>0</v>
      </c>
      <c r="R67" s="274" t="str">
        <f>IF('Input-EWEMs'!AD38="", "", IFERROR(INDEX('Input-EWEMs'!AD$52:AD$61, MATCH($C67, 'Input-EWEMs'!$C$52:$C$61, 0)),'Input-EWEMs'!AD38))</f>
        <v/>
      </c>
      <c r="S67" s="275" t="str">
        <f>IF('Input-EWEMs'!AF38="", "", IFERROR(INDEX('Input-EWEMs'!AF$52:AF$61, MATCH($C67, 'Input-EWEMs'!$C$52:$C$61, 0)),'Input-EWEMs'!AF38))</f>
        <v/>
      </c>
      <c r="T67" s="276" t="str">
        <f>IF('Input-EWEMs'!AG38="", "", IFERROR(INDEX('Input-EWEMs'!AG$52:AG$61, MATCH($C67, 'Input-EWEMs'!$C$52:$C$61, 0)),'Input-EWEMs'!AG38))</f>
        <v/>
      </c>
    </row>
    <row r="68" spans="2:20" s="210" customFormat="1" ht="36" customHeight="1">
      <c r="B68" s="262"/>
      <c r="C68" s="277">
        <v>28</v>
      </c>
      <c r="D68" s="278" t="str">
        <f>IF(IFERROR(MATCH($C68, 'Input-EWEMs'!$C$52:$C$61, 0),0)&gt;0,"adj.","")</f>
        <v/>
      </c>
      <c r="E68" s="800" t="str">
        <f>IF('Input-EWEMs'!F39="", "", IFERROR(INDEX('Input-EWEMs'!$F$52:$F$61, MATCH($C68, 'Input-EWEMs'!$C$52:$C$61, 0)),'Input-EWEMs'!F39))</f>
        <v/>
      </c>
      <c r="F68" s="801"/>
      <c r="G68" s="802"/>
      <c r="H68" s="265" t="str">
        <f>IF('Input-EWEMs'!K39="", "", IFERROR(INDEX('Input-EWEMs'!H$52:H$61, MATCH($C68, 'Input-EWEMs'!$C$52:$C$61, 0)),'Input-EWEMs'!H39))</f>
        <v/>
      </c>
      <c r="I68" s="266" t="str">
        <f>IF('Input-EWEMs'!K39="", "", IFERROR(INDEX('Input-EWEMs'!K$52:K$61, MATCH($C68, 'Input-EWEMs'!$C$52:$C$61, 0)),'Input-EWEMs'!K39))</f>
        <v/>
      </c>
      <c r="J68" s="267" t="str">
        <f>IF('Input-EWEMs'!L39="", "", IFERROR(INDEX('Input-EWEMs'!L$52:L$61, MATCH($C68, 'Input-EWEMs'!$C$52:$C$61, 0)),'Input-EWEMs'!L39))</f>
        <v/>
      </c>
      <c r="K68" s="268" t="str">
        <f>IF('Input-EWEMs'!M39="", "", IFERROR(INDEX('Input-EWEMs'!M$52:M$61, MATCH($C68, 'Input-EWEMs'!$C$52:$C$61, 0)),'Input-EWEMs'!M39))</f>
        <v/>
      </c>
      <c r="L68" s="271" t="str">
        <f>IF('Input-EWEMs'!N39="", "", IFERROR(INDEX('Input-EWEMs'!N$52:N$61, MATCH($C68, 'Input-EWEMs'!$C$52:$C$61, 0)),'Input-EWEMs'!N39))</f>
        <v/>
      </c>
      <c r="M68" s="270" t="str">
        <f>IF('Input-EWEMs'!O39="", "", IFERROR(INDEX('Input-EWEMs'!O$52:O$61, MATCH($C68, 'Input-EWEMs'!$C$52:$C$61, 0)),'Input-EWEMs'!O39))</f>
        <v/>
      </c>
      <c r="N68" s="268" t="str">
        <f>IF('Input-EWEMs'!P39="", "", IFERROR(INDEX('Input-EWEMs'!P$52:P$61, MATCH($C68, 'Input-EWEMs'!$C$52:$C$61, 0)),'Input-EWEMs'!P39))</f>
        <v/>
      </c>
      <c r="O68" s="271" t="str">
        <f>IF('Input-EWEMs'!Q39="", "", IFERROR(INDEX('Input-EWEMs'!Q$52:Q$61, MATCH($C68, 'Input-EWEMs'!$C$52:$C$61, 0)),'Input-EWEMs'!Q39))</f>
        <v/>
      </c>
      <c r="P68" s="272">
        <f>IF('Input-EWEMs'!AB39="", "", IFERROR(INDEX('Input-EWEMs'!AB$52:AB$61, MATCH($C68, 'Input-EWEMs'!$C$52:$C$61, 0)),'Input-EWEMs'!AB39))</f>
        <v>0</v>
      </c>
      <c r="Q68" s="273">
        <f>IF('Input-EWEMs'!AC39="", "", IFERROR(INDEX('Input-EWEMs'!AC$52:AC$61, MATCH($C68, 'Input-EWEMs'!$C$52:$C$61, 0)),'Input-EWEMs'!AC39))</f>
        <v>0</v>
      </c>
      <c r="R68" s="274" t="str">
        <f>IF('Input-EWEMs'!AD39="", "", IFERROR(INDEX('Input-EWEMs'!AD$52:AD$61, MATCH($C68, 'Input-EWEMs'!$C$52:$C$61, 0)),'Input-EWEMs'!AD39))</f>
        <v/>
      </c>
      <c r="S68" s="275" t="str">
        <f>IF('Input-EWEMs'!AF39="", "", IFERROR(INDEX('Input-EWEMs'!AF$52:AF$61, MATCH($C68, 'Input-EWEMs'!$C$52:$C$61, 0)),'Input-EWEMs'!AF39))</f>
        <v/>
      </c>
      <c r="T68" s="276" t="str">
        <f>IF('Input-EWEMs'!AG39="", "", IFERROR(INDEX('Input-EWEMs'!AG$52:AG$61, MATCH($C68, 'Input-EWEMs'!$C$52:$C$61, 0)),'Input-EWEMs'!AG39))</f>
        <v/>
      </c>
    </row>
    <row r="69" spans="2:20" s="210" customFormat="1" ht="36" customHeight="1">
      <c r="B69" s="262"/>
      <c r="C69" s="277">
        <v>29</v>
      </c>
      <c r="D69" s="278" t="str">
        <f>IF(IFERROR(MATCH($C69, 'Input-EWEMs'!$C$52:$C$61, 0),0)&gt;0,"adj.","")</f>
        <v/>
      </c>
      <c r="E69" s="800" t="str">
        <f>IF('Input-EWEMs'!F40="", "", IFERROR(INDEX('Input-EWEMs'!$F$52:$F$61, MATCH($C69, 'Input-EWEMs'!$C$52:$C$61, 0)),'Input-EWEMs'!F40))</f>
        <v/>
      </c>
      <c r="F69" s="801"/>
      <c r="G69" s="802"/>
      <c r="H69" s="265" t="str">
        <f>IF('Input-EWEMs'!K40="", "", IFERROR(INDEX('Input-EWEMs'!H$52:H$61, MATCH($C69, 'Input-EWEMs'!$C$52:$C$61, 0)),'Input-EWEMs'!H40))</f>
        <v/>
      </c>
      <c r="I69" s="266" t="str">
        <f>IF('Input-EWEMs'!K40="", "", IFERROR(INDEX('Input-EWEMs'!K$52:K$61, MATCH($C69, 'Input-EWEMs'!$C$52:$C$61, 0)),'Input-EWEMs'!K40))</f>
        <v/>
      </c>
      <c r="J69" s="267" t="str">
        <f>IF('Input-EWEMs'!L40="", "", IFERROR(INDEX('Input-EWEMs'!L$52:L$61, MATCH($C69, 'Input-EWEMs'!$C$52:$C$61, 0)),'Input-EWEMs'!L40))</f>
        <v/>
      </c>
      <c r="K69" s="268" t="str">
        <f>IF('Input-EWEMs'!M40="", "", IFERROR(INDEX('Input-EWEMs'!M$52:M$61, MATCH($C69, 'Input-EWEMs'!$C$52:$C$61, 0)),'Input-EWEMs'!M40))</f>
        <v/>
      </c>
      <c r="L69" s="271" t="str">
        <f>IF('Input-EWEMs'!N40="", "", IFERROR(INDEX('Input-EWEMs'!N$52:N$61, MATCH($C69, 'Input-EWEMs'!$C$52:$C$61, 0)),'Input-EWEMs'!N40))</f>
        <v/>
      </c>
      <c r="M69" s="270" t="str">
        <f>IF('Input-EWEMs'!O40="", "", IFERROR(INDEX('Input-EWEMs'!O$52:O$61, MATCH($C69, 'Input-EWEMs'!$C$52:$C$61, 0)),'Input-EWEMs'!O40))</f>
        <v/>
      </c>
      <c r="N69" s="268" t="str">
        <f>IF('Input-EWEMs'!P40="", "", IFERROR(INDEX('Input-EWEMs'!P$52:P$61, MATCH($C69, 'Input-EWEMs'!$C$52:$C$61, 0)),'Input-EWEMs'!P40))</f>
        <v/>
      </c>
      <c r="O69" s="271" t="str">
        <f>IF('Input-EWEMs'!Q40="", "", IFERROR(INDEX('Input-EWEMs'!Q$52:Q$61, MATCH($C69, 'Input-EWEMs'!$C$52:$C$61, 0)),'Input-EWEMs'!Q40))</f>
        <v/>
      </c>
      <c r="P69" s="272">
        <f>IF('Input-EWEMs'!AB40="", "", IFERROR(INDEX('Input-EWEMs'!AB$52:AB$61, MATCH($C69, 'Input-EWEMs'!$C$52:$C$61, 0)),'Input-EWEMs'!AB40))</f>
        <v>0</v>
      </c>
      <c r="Q69" s="273">
        <f>IF('Input-EWEMs'!AC40="", "", IFERROR(INDEX('Input-EWEMs'!AC$52:AC$61, MATCH($C69, 'Input-EWEMs'!$C$52:$C$61, 0)),'Input-EWEMs'!AC40))</f>
        <v>0</v>
      </c>
      <c r="R69" s="274" t="str">
        <f>IF('Input-EWEMs'!AD40="", "", IFERROR(INDEX('Input-EWEMs'!AD$52:AD$61, MATCH($C69, 'Input-EWEMs'!$C$52:$C$61, 0)),'Input-EWEMs'!AD40))</f>
        <v/>
      </c>
      <c r="S69" s="275" t="str">
        <f>IF('Input-EWEMs'!AF40="", "", IFERROR(INDEX('Input-EWEMs'!AF$52:AF$61, MATCH($C69, 'Input-EWEMs'!$C$52:$C$61, 0)),'Input-EWEMs'!AF40))</f>
        <v/>
      </c>
      <c r="T69" s="276" t="str">
        <f>IF('Input-EWEMs'!AG40="", "", IFERROR(INDEX('Input-EWEMs'!AG$52:AG$61, MATCH($C69, 'Input-EWEMs'!$C$52:$C$61, 0)),'Input-EWEMs'!AG40))</f>
        <v/>
      </c>
    </row>
    <row r="70" spans="2:20" s="210" customFormat="1" ht="36" customHeight="1">
      <c r="B70" s="280"/>
      <c r="C70" s="277">
        <v>30</v>
      </c>
      <c r="D70" s="278" t="str">
        <f>IF(IFERROR(MATCH($C70, 'Input-EWEMs'!$C$52:$C$61, 0),0)&gt;0,"adj.","")</f>
        <v/>
      </c>
      <c r="E70" s="800" t="str">
        <f>IF('Input-EWEMs'!F41="", "", IFERROR(INDEX('Input-EWEMs'!$F$52:$F$61, MATCH($C70, 'Input-EWEMs'!$C$52:$C$61, 0)),'Input-EWEMs'!F41))</f>
        <v/>
      </c>
      <c r="F70" s="801"/>
      <c r="G70" s="802"/>
      <c r="H70" s="265" t="str">
        <f>IF('Input-EWEMs'!K41="", "", IFERROR(INDEX('Input-EWEMs'!H$52:H$61, MATCH($C70, 'Input-EWEMs'!$C$52:$C$61, 0)),'Input-EWEMs'!H41))</f>
        <v/>
      </c>
      <c r="I70" s="266" t="str">
        <f>IF('Input-EWEMs'!K41="", "", IFERROR(INDEX('Input-EWEMs'!K$52:K$61, MATCH($C70, 'Input-EWEMs'!$C$52:$C$61, 0)),'Input-EWEMs'!K41))</f>
        <v/>
      </c>
      <c r="J70" s="267" t="str">
        <f>IF('Input-EWEMs'!L41="", "", IFERROR(INDEX('Input-EWEMs'!L$52:L$61, MATCH($C70, 'Input-EWEMs'!$C$52:$C$61, 0)),'Input-EWEMs'!L41))</f>
        <v/>
      </c>
      <c r="K70" s="268" t="str">
        <f>IF('Input-EWEMs'!M41="", "", IFERROR(INDEX('Input-EWEMs'!M$52:M$61, MATCH($C70, 'Input-EWEMs'!$C$52:$C$61, 0)),'Input-EWEMs'!M41))</f>
        <v/>
      </c>
      <c r="L70" s="271" t="str">
        <f>IF('Input-EWEMs'!N41="", "", IFERROR(INDEX('Input-EWEMs'!N$52:N$61, MATCH($C70, 'Input-EWEMs'!$C$52:$C$61, 0)),'Input-EWEMs'!N41))</f>
        <v/>
      </c>
      <c r="M70" s="270" t="str">
        <f>IF('Input-EWEMs'!O41="", "", IFERROR(INDEX('Input-EWEMs'!O$52:O$61, MATCH($C70, 'Input-EWEMs'!$C$52:$C$61, 0)),'Input-EWEMs'!O41))</f>
        <v/>
      </c>
      <c r="N70" s="268" t="str">
        <f>IF('Input-EWEMs'!P41="", "", IFERROR(INDEX('Input-EWEMs'!P$52:P$61, MATCH($C70, 'Input-EWEMs'!$C$52:$C$61, 0)),'Input-EWEMs'!P41))</f>
        <v/>
      </c>
      <c r="O70" s="271" t="str">
        <f>IF('Input-EWEMs'!Q41="", "", IFERROR(INDEX('Input-EWEMs'!Q$52:Q$61, MATCH($C70, 'Input-EWEMs'!$C$52:$C$61, 0)),'Input-EWEMs'!Q41))</f>
        <v/>
      </c>
      <c r="P70" s="272">
        <f>IF('Input-EWEMs'!AB41="", "", IFERROR(INDEX('Input-EWEMs'!AB$52:AB$61, MATCH($C70, 'Input-EWEMs'!$C$52:$C$61, 0)),'Input-EWEMs'!AB41))</f>
        <v>0</v>
      </c>
      <c r="Q70" s="273">
        <f>IF('Input-EWEMs'!AC41="", "", IFERROR(INDEX('Input-EWEMs'!AC$52:AC$61, MATCH($C70, 'Input-EWEMs'!$C$52:$C$61, 0)),'Input-EWEMs'!AC41))</f>
        <v>0</v>
      </c>
      <c r="R70" s="274" t="str">
        <f>IF('Input-EWEMs'!AD41="", "", IFERROR(INDEX('Input-EWEMs'!AD$52:AD$61, MATCH($C70, 'Input-EWEMs'!$C$52:$C$61, 0)),'Input-EWEMs'!AD41))</f>
        <v/>
      </c>
      <c r="S70" s="275" t="str">
        <f>IF('Input-EWEMs'!AF41="", "", IFERROR(INDEX('Input-EWEMs'!AF$52:AF$61, MATCH($C70, 'Input-EWEMs'!$C$52:$C$61, 0)),'Input-EWEMs'!AF41))</f>
        <v/>
      </c>
      <c r="T70" s="276" t="str">
        <f>IF('Input-EWEMs'!AG41="", "", IFERROR(INDEX('Input-EWEMs'!AG$52:AG$61, MATCH($C70, 'Input-EWEMs'!$C$52:$C$61, 0)),'Input-EWEMs'!AG41))</f>
        <v/>
      </c>
    </row>
    <row r="71" spans="2:20" s="210" customFormat="1" ht="24" hidden="1" customHeight="1"/>
    <row r="72" spans="2:20" s="210" customFormat="1" ht="15">
      <c r="B72" s="281"/>
      <c r="C72" s="282" t="str">
        <f>COUNTA('Input-EWEMs'!$D$12:$D$41)&amp;" EWEM Recommended"</f>
        <v>0 EWEM Recommended</v>
      </c>
      <c r="D72" s="283"/>
      <c r="E72" s="284"/>
      <c r="F72" s="284"/>
      <c r="G72" s="284"/>
      <c r="H72" s="285"/>
      <c r="I72" s="286">
        <f>SUM(I41:I70)</f>
        <v>0</v>
      </c>
      <c r="J72" s="287">
        <f>SUM(J41:J70)</f>
        <v>0</v>
      </c>
      <c r="K72" s="288">
        <f>SUM(K41:K70)</f>
        <v>0</v>
      </c>
      <c r="L72" s="289">
        <f>SUM(L41:L70)</f>
        <v>0</v>
      </c>
      <c r="M72" s="290">
        <f>SUM(M41:M70)</f>
        <v>0</v>
      </c>
      <c r="N72" s="288">
        <f t="shared" ref="N72:O72" si="0">SUM(N41:N70)</f>
        <v>0</v>
      </c>
      <c r="O72" s="289">
        <f t="shared" si="0"/>
        <v>0</v>
      </c>
      <c r="P72" s="291">
        <f t="shared" ref="P72:R72" si="1">SUM(P41:P70)</f>
        <v>0</v>
      </c>
      <c r="Q72" s="292">
        <f t="shared" si="1"/>
        <v>0</v>
      </c>
      <c r="R72" s="293">
        <f t="shared" si="1"/>
        <v>0</v>
      </c>
      <c r="S72" s="294">
        <f t="shared" ref="S72:T72" si="2">SUM(S41:S70)</f>
        <v>0</v>
      </c>
      <c r="T72" s="295">
        <f t="shared" si="2"/>
        <v>0</v>
      </c>
    </row>
    <row r="73" spans="2:20" ht="16.5" customHeight="1">
      <c r="B73" s="255"/>
      <c r="C73" s="282" t="str">
        <f>COUNTIF(B41:B70, "Yes")&amp;" EWEM Selected"</f>
        <v>0 EWEM Selected</v>
      </c>
      <c r="D73" s="283"/>
      <c r="E73" s="284"/>
      <c r="F73" s="284"/>
      <c r="G73" s="284"/>
      <c r="H73" s="285"/>
      <c r="I73" s="286">
        <f t="shared" ref="I73:T73" si="3">SUMIF($B$41:$B$70, "Yes", I41:I70)</f>
        <v>0</v>
      </c>
      <c r="J73" s="287">
        <f>SUMIF($B$41:$B$70, "Yes", J41:J70)</f>
        <v>0</v>
      </c>
      <c r="K73" s="288">
        <f t="shared" si="3"/>
        <v>0</v>
      </c>
      <c r="L73" s="289">
        <f t="shared" si="3"/>
        <v>0</v>
      </c>
      <c r="M73" s="290">
        <f t="shared" si="3"/>
        <v>0</v>
      </c>
      <c r="N73" s="288">
        <f t="shared" si="3"/>
        <v>0</v>
      </c>
      <c r="O73" s="289">
        <f t="shared" si="3"/>
        <v>0</v>
      </c>
      <c r="P73" s="291">
        <f t="shared" ref="P73:R73" si="4">SUMIF($B$41:$B$70, "Yes", P41:P70)</f>
        <v>0</v>
      </c>
      <c r="Q73" s="292">
        <f t="shared" si="4"/>
        <v>0</v>
      </c>
      <c r="R73" s="293">
        <f t="shared" si="4"/>
        <v>0</v>
      </c>
      <c r="S73" s="294">
        <f t="shared" si="3"/>
        <v>0</v>
      </c>
      <c r="T73" s="295">
        <f t="shared" si="3"/>
        <v>0</v>
      </c>
    </row>
    <row r="74" spans="2:20" ht="20.100000000000001" customHeight="1">
      <c r="E74" s="296"/>
    </row>
    <row r="75" spans="2:20" ht="14.25" customHeight="1"/>
  </sheetData>
  <sheetProtection algorithmName="SHA-512" hashValue="7d2QOe4NVepFtoE5EtP6H1EA8+gYUoHKk1FUa9xytNO1ltlTguFAXovlZ1O8YX4Yt3H3XGQrY/TElTS8WUAH3A==" saltValue="ypmmkwgro5o5klr37mCrCg==" spinCount="100000" sheet="1" sort="0" autoFilter="0"/>
  <autoFilter ref="B40:B70"/>
  <mergeCells count="48">
    <mergeCell ref="B4:O4"/>
    <mergeCell ref="E60:G60"/>
    <mergeCell ref="E61:G61"/>
    <mergeCell ref="E62:G62"/>
    <mergeCell ref="E63:G63"/>
    <mergeCell ref="H11:J11"/>
    <mergeCell ref="E35:F35"/>
    <mergeCell ref="J39:L39"/>
    <mergeCell ref="C39:D40"/>
    <mergeCell ref="E39:G40"/>
    <mergeCell ref="H39:H40"/>
    <mergeCell ref="H15:I15"/>
    <mergeCell ref="E11:G11"/>
    <mergeCell ref="E15:F15"/>
    <mergeCell ref="I39:I40"/>
    <mergeCell ref="M39:O39"/>
    <mergeCell ref="S39:S40"/>
    <mergeCell ref="T39:T40"/>
    <mergeCell ref="E58:G58"/>
    <mergeCell ref="E59:G59"/>
    <mergeCell ref="E70:G70"/>
    <mergeCell ref="E51:G51"/>
    <mergeCell ref="E52:G52"/>
    <mergeCell ref="E53:G53"/>
    <mergeCell ref="E54:G54"/>
    <mergeCell ref="E55:G55"/>
    <mergeCell ref="E64:G64"/>
    <mergeCell ref="E65:G65"/>
    <mergeCell ref="E66:G66"/>
    <mergeCell ref="E67:G67"/>
    <mergeCell ref="E68:G68"/>
    <mergeCell ref="E69:G69"/>
    <mergeCell ref="B5:O5"/>
    <mergeCell ref="B6:O6"/>
    <mergeCell ref="B7:O7"/>
    <mergeCell ref="E56:G56"/>
    <mergeCell ref="E57:G57"/>
    <mergeCell ref="E46:G46"/>
    <mergeCell ref="E47:G47"/>
    <mergeCell ref="E48:G48"/>
    <mergeCell ref="E49:G49"/>
    <mergeCell ref="E50:G50"/>
    <mergeCell ref="B39:B40"/>
    <mergeCell ref="E41:G41"/>
    <mergeCell ref="E42:G42"/>
    <mergeCell ref="E43:G43"/>
    <mergeCell ref="E44:G44"/>
    <mergeCell ref="E45:G45"/>
  </mergeCells>
  <conditionalFormatting sqref="E19">
    <cfRule type="expression" dxfId="56" priority="11">
      <formula>E19&gt;=0.1495</formula>
    </cfRule>
  </conditionalFormatting>
  <conditionalFormatting sqref="E13 E15 H15">
    <cfRule type="expression" dxfId="55" priority="10">
      <formula>E13=""</formula>
    </cfRule>
  </conditionalFormatting>
  <conditionalFormatting sqref="E11">
    <cfRule type="expression" dxfId="54" priority="8">
      <formula>E11=""</formula>
    </cfRule>
  </conditionalFormatting>
  <conditionalFormatting sqref="H11">
    <cfRule type="expression" dxfId="53" priority="60">
      <formula>$E$11&lt;&gt;"OTHER"</formula>
    </cfRule>
  </conditionalFormatting>
  <conditionalFormatting sqref="H11:J11">
    <cfRule type="expression" dxfId="52" priority="5">
      <formula>H11&lt;&gt;""</formula>
    </cfRule>
    <cfRule type="expression" dxfId="51" priority="59">
      <formula>AND($E$11="OTHER",OR($H$11="",$H$11="(Enter Lender Name)"))</formula>
    </cfRule>
  </conditionalFormatting>
  <conditionalFormatting sqref="B41:B70">
    <cfRule type="expression" dxfId="50" priority="61">
      <formula>AND(E41&lt;&gt;"",B41="")</formula>
    </cfRule>
  </conditionalFormatting>
  <conditionalFormatting sqref="J35">
    <cfRule type="expression" dxfId="49" priority="2">
      <formula>J35=""</formula>
    </cfRule>
  </conditionalFormatting>
  <conditionalFormatting sqref="E21">
    <cfRule type="expression" dxfId="48" priority="1">
      <formula>$E$21&gt;=0.2995</formula>
    </cfRule>
  </conditionalFormatting>
  <dataValidations count="1">
    <dataValidation type="date" allowBlank="1" showInputMessage="1" showErrorMessage="1" sqref="H15">
      <formula1>42736</formula1>
      <formula2>46388</formula2>
    </dataValidation>
  </dataValidations>
  <pageMargins left="0.7" right="0.7" top="0.75" bottom="0.75" header="0.3" footer="0.3"/>
  <pageSetup paperSize="5" scale="84" orientation="landscape" r:id="rId1"/>
  <headerFooter>
    <oddFooter>&amp;L&amp;"Source Sans Pro,Regular"&amp;8© 2019 Fannie Mae. Trademarks of Fannie Mae.&amp;C&amp;"Source Sans Pro,Regular"&amp;8Form 4099.H - September 2019&amp;R&amp;"Source Sans Pro,Regular"&amp;8Page &amp;P of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Dropdowns!$B$3:$B$4</xm:f>
          </x14:formula1>
          <xm:sqref>B41:B70</xm:sqref>
        </x14:dataValidation>
        <x14:dataValidation type="list" allowBlank="1" showInputMessage="1" showErrorMessage="1" error="Report must be scored on a scale of 1 to 3.">
          <x14:formula1>
            <xm:f>Dropdowns!$J$3:$J$5</xm:f>
          </x14:formula1>
          <xm:sqref>E13</xm:sqref>
        </x14:dataValidation>
        <x14:dataValidation type="list" allowBlank="1" showInputMessage="1" showErrorMessage="1">
          <x14:formula1>
            <xm:f>Dropdowns!$I$3:$I$34</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sheetPr>
  <dimension ref="A1:K60"/>
  <sheetViews>
    <sheetView showGridLines="0" zoomScale="90" zoomScaleNormal="90" workbookViewId="0">
      <selection activeCell="F23" sqref="F23"/>
    </sheetView>
  </sheetViews>
  <sheetFormatPr defaultColWidth="9.28515625" defaultRowHeight="12"/>
  <cols>
    <col min="1" max="1" width="2.42578125" style="213" customWidth="1"/>
    <col min="2" max="2" width="1.5703125" style="213" customWidth="1"/>
    <col min="3" max="3" width="7.28515625" style="214" customWidth="1"/>
    <col min="4" max="4" width="13.5703125" style="213" customWidth="1"/>
    <col min="5" max="5" width="36.7109375" style="215" customWidth="1"/>
    <col min="6" max="6" width="72.5703125" style="213" customWidth="1"/>
    <col min="7" max="7" width="71.28515625" style="213" customWidth="1"/>
    <col min="8" max="8" width="14.7109375" style="213" customWidth="1"/>
    <col min="9" max="9" width="12.5703125" style="213" customWidth="1"/>
    <col min="10" max="10" width="11.7109375" style="213" customWidth="1"/>
    <col min="11" max="16384" width="9.28515625" style="213"/>
  </cols>
  <sheetData>
    <row r="1" spans="1:11" s="187" customFormat="1" ht="23.25" customHeight="1">
      <c r="A1" s="188"/>
      <c r="B1" s="185" t="s">
        <v>367</v>
      </c>
      <c r="C1" s="186"/>
      <c r="D1" s="186"/>
      <c r="E1" s="186"/>
      <c r="F1" s="186"/>
      <c r="G1" s="186"/>
      <c r="H1" s="186"/>
      <c r="K1" s="207"/>
    </row>
    <row r="2" spans="1:11" s="187" customFormat="1" ht="15" customHeight="1">
      <c r="A2" s="188"/>
      <c r="C2" s="186"/>
      <c r="D2" s="186"/>
      <c r="E2" s="186"/>
      <c r="F2" s="186"/>
      <c r="G2" s="186"/>
      <c r="H2" s="186"/>
      <c r="K2" s="207"/>
    </row>
    <row r="3" spans="1:11" s="188" customFormat="1" ht="26.25">
      <c r="B3" s="208" t="s">
        <v>324</v>
      </c>
      <c r="F3" s="186"/>
    </row>
    <row r="4" spans="1:11" s="187" customFormat="1" ht="16.5" customHeight="1">
      <c r="A4" s="188"/>
      <c r="B4" s="209" t="s">
        <v>816</v>
      </c>
      <c r="C4" s="188"/>
      <c r="D4" s="188"/>
      <c r="E4" s="188"/>
      <c r="F4" s="186"/>
    </row>
    <row r="5" spans="1:11">
      <c r="C5" s="213"/>
    </row>
    <row r="6" spans="1:11" ht="23.25" customHeight="1">
      <c r="B6" s="255" t="s">
        <v>269</v>
      </c>
      <c r="E6" s="296"/>
    </row>
    <row r="7" spans="1:11" ht="9" customHeight="1">
      <c r="C7" s="297"/>
      <c r="E7" s="213"/>
    </row>
    <row r="8" spans="1:11" ht="19.5" customHeight="1">
      <c r="C8" s="837" t="s">
        <v>267</v>
      </c>
      <c r="D8" s="838"/>
      <c r="E8" s="298" t="s">
        <v>266</v>
      </c>
      <c r="F8" s="299" t="s">
        <v>250</v>
      </c>
      <c r="G8" s="300" t="s">
        <v>365</v>
      </c>
    </row>
    <row r="9" spans="1:11" ht="45" customHeight="1">
      <c r="C9" s="839" t="s">
        <v>779</v>
      </c>
      <c r="D9" s="840"/>
      <c r="E9" s="301" t="s">
        <v>780</v>
      </c>
      <c r="F9" s="302" t="str">
        <f>IF('Input-Property'!I46="","",'Input-Property'!I46)&amp;IF('Input-Property'!I52="","",'Input-Property'!I52)</f>
        <v/>
      </c>
      <c r="G9" s="303"/>
    </row>
    <row r="10" spans="1:11" ht="36" customHeight="1">
      <c r="C10" s="839" t="s">
        <v>249</v>
      </c>
      <c r="D10" s="840"/>
      <c r="E10" s="301" t="s">
        <v>347</v>
      </c>
      <c r="F10" s="302" t="str">
        <f>IF('Input-Utilities'!N10="","",'Input-Utilities'!N10)</f>
        <v/>
      </c>
      <c r="G10" s="303"/>
    </row>
    <row r="11" spans="1:11" ht="36" customHeight="1">
      <c r="C11" s="839" t="s">
        <v>249</v>
      </c>
      <c r="D11" s="840"/>
      <c r="E11" s="304" t="s">
        <v>349</v>
      </c>
      <c r="F11" s="302" t="str">
        <f>IF('Input-Utilities'!N11="","",'Input-Utilities'!N11)&amp;IF('Input-Utilities'!N12="","",'Input-Utilities'!N12)</f>
        <v/>
      </c>
      <c r="G11" s="303"/>
    </row>
    <row r="12" spans="1:11" ht="36" customHeight="1">
      <c r="C12" s="839" t="s">
        <v>249</v>
      </c>
      <c r="D12" s="840"/>
      <c r="E12" s="304" t="s">
        <v>348</v>
      </c>
      <c r="F12" s="302" t="str">
        <f>IF('Input-Utilities'!N13="","",'Input-Utilities'!N13)</f>
        <v/>
      </c>
      <c r="G12" s="303"/>
    </row>
    <row r="13" spans="1:11" ht="36" customHeight="1">
      <c r="C13" s="839" t="s">
        <v>249</v>
      </c>
      <c r="D13" s="840"/>
      <c r="E13" s="304" t="s">
        <v>386</v>
      </c>
      <c r="F13" s="302" t="str">
        <f>IF('Input-Utilities'!N14="","",'Input-Utilities'!N14)</f>
        <v/>
      </c>
      <c r="G13" s="303"/>
    </row>
    <row r="14" spans="1:11" ht="36" customHeight="1">
      <c r="C14" s="839" t="s">
        <v>249</v>
      </c>
      <c r="D14" s="840"/>
      <c r="E14" s="304" t="s">
        <v>688</v>
      </c>
      <c r="F14" s="302"/>
      <c r="G14" s="303"/>
    </row>
    <row r="15" spans="1:11" ht="36" customHeight="1">
      <c r="C15" s="841" t="s">
        <v>249</v>
      </c>
      <c r="D15" s="842"/>
      <c r="E15" s="304" t="s">
        <v>395</v>
      </c>
      <c r="F15" s="305" t="str">
        <f>IF(OR('Input-Utilities'!N43&lt;&gt;"", 'Input-Utilities'!N40&lt;&gt;"", 'Input-Utilities'!N41&lt;&gt;"", 'Input-Utilities'!N42&lt;&gt;""), "Seasonal energy usage breakdown conflicts with reported consumption - See Utilities tab for alert details.", "")</f>
        <v/>
      </c>
      <c r="G15" s="306"/>
    </row>
    <row r="16" spans="1:11" ht="56.25" customHeight="1">
      <c r="C16" s="841" t="s">
        <v>249</v>
      </c>
      <c r="D16" s="842"/>
      <c r="E16" s="304" t="s">
        <v>503</v>
      </c>
      <c r="F16" s="307" t="str">
        <f>IF('Input-Utilities'!N49="","",'Input-Utilities'!N49)</f>
        <v/>
      </c>
      <c r="G16" s="308"/>
    </row>
    <row r="17" spans="2:7" ht="66" customHeight="1">
      <c r="C17" s="841" t="s">
        <v>265</v>
      </c>
      <c r="D17" s="842"/>
      <c r="E17" s="304" t="s">
        <v>270</v>
      </c>
      <c r="F17" s="305" t="str">
        <f>'Input-WaterCalc'!O13&amp;'Input-WaterCalc'!O15&amp;'Input-WaterCalc'!O17&amp;'Input-WaterCalc'!O19&amp;'Input-WaterCalc'!O21&amp;'Input-WaterCalc'!O25&amp;'Input-WaterCalc'!O51</f>
        <v/>
      </c>
      <c r="G17" s="309"/>
    </row>
    <row r="18" spans="2:7" ht="81" customHeight="1">
      <c r="C18" s="835" t="s">
        <v>439</v>
      </c>
      <c r="D18" s="836"/>
      <c r="E18" s="310" t="s">
        <v>447</v>
      </c>
      <c r="F18" s="311" t="str">
        <f>EWEMQC!D16&amp;EWEMQC!D17&amp;EWEMQC!D18&amp;EWEMQC!D19&amp;EWEMQC!D20&amp;EWEMQC!D21&amp;EWEMQC!D22&amp;EWEMQC!D23</f>
        <v/>
      </c>
      <c r="G18" s="312"/>
    </row>
    <row r="19" spans="2:7" ht="16.5" customHeight="1">
      <c r="C19" s="313"/>
      <c r="D19" s="313"/>
      <c r="E19" s="313"/>
      <c r="F19" s="314"/>
      <c r="G19" s="222"/>
    </row>
    <row r="20" spans="2:7" ht="23.25" customHeight="1">
      <c r="B20" s="255" t="s">
        <v>268</v>
      </c>
      <c r="C20" s="213"/>
      <c r="D20" s="315"/>
      <c r="E20" s="315"/>
    </row>
    <row r="21" spans="2:7" ht="8.25" customHeight="1">
      <c r="C21" s="255"/>
      <c r="D21" s="256"/>
      <c r="E21" s="256"/>
      <c r="F21" s="256"/>
    </row>
    <row r="22" spans="2:7" s="210" customFormat="1" ht="24" customHeight="1">
      <c r="C22" s="237" t="s">
        <v>315</v>
      </c>
      <c r="D22" s="843" t="s">
        <v>88</v>
      </c>
      <c r="E22" s="844"/>
      <c r="F22" s="300" t="s">
        <v>250</v>
      </c>
      <c r="G22" s="300" t="s">
        <v>365</v>
      </c>
    </row>
    <row r="23" spans="2:7" s="210" customFormat="1" ht="36" customHeight="1">
      <c r="C23" s="316">
        <v>1</v>
      </c>
      <c r="D23" s="845" t="str">
        <f>IF('Input-EWEMs'!F12="", "", 'Input-EWEMs'!F12)</f>
        <v/>
      </c>
      <c r="E23" s="846"/>
      <c r="F23" s="317" t="str">
        <f ca="1">IFERROR(INDEX(EWEMQC!L$2:L$14,MATCH('Check Errors'!C23,EWEMQC!A$2:A$14,0)),"")&amp;
IF('Input-EWEMs'!D12&lt;&gt;"",IF(SUM('Input-EWEMs'!N12,'Input-EWEMs'!Q12)=0,"EWEM has no cost savings. ","")&amp;
IF(SUM('Input-EWEMs'!AF12,'Input-EWEMs'!AG12)=0,"EWEM has no energy or water savings. ",""),"")&amp;
IFERROR(IF(SUM(INDEX('Input-EWEMs'!$N$52:$N$61, MATCH($C23, 'Input-EWEMs'!$C$52:$C$61, 0)),INDEX('Input-EWEMs'!$Q$52:$Q$61, MATCH($C23, 'Input-EWEMs'!$C$52:$C$61, 0)))=0,"Adjusted EWEM has no cost savings. ",""),"")&amp;
IFERROR(IF(SUM(INDEX('Input-EWEMs'!$AF$52:$AF$61, MATCH($C23, 'Input-EWEMs'!$C$52:$C$61, 0)),INDEX('Input-EWEMs'!$AG$52:$AG$61, MATCH($C23, 'Input-EWEMs'!$C$52:$C$61, 0)))=0,"Adjusted EWEM has no energy or water savings. ",""),"")&amp;
IFERROR(IF(INDEX('DB-EWEMAdjusted'!K:K,MATCH('Check Errors'!C23,'DB-EWEMAdjusted'!C:C,0))&gt;INDEX('DB-EWEM'!K:K,MATCH('Check Errors'!C23,'DB-EWEM'!C:C,0)),"Cost of adjusted recommendation is greater than cost of originally recommended measure - confirm adjusted cost is correct. ",""),"")&amp;
IF('Input-EWEMs'!E12="","",IF(COUNTIF(MeasureList!$A$3:$N$24,'Input-EWEMs'!E12)&gt;0,IF(ISNUMBER(MATCH('Input-EWEMs'!E12,INDIRECT("MeasureList!"&amp;ADDRESS(1,MATCH('Input-EWEMs'!D12,MeasureList!A$1:'MeasureList'!N$1,0))):INDIRECT("MeasureList!"&amp;ADDRESS(24,MATCH('Input-EWEMs'!D12,MeasureList!A$1:'MeasureList'!N$1,0))),0)),"","Selected EWEM Type does not match EWEM Category. "),"Nonstandard EWEM type was entered - select best match from provided dropdown list. "))&amp;
IF('Input-EWEMs'!D12="","",IF('Input-EWEMs'!D12="Water and sewer conservation",IF('Input-EWEMs'!U12=0,"No water savings for EWEM Category: Water and Sewer Conservation. ",""),IF('Input-EWEMs'!U12&gt;0,"Water savings were entered for energy-saving measure - confirm water savings are expected. ","")))&amp;
IFERROR(IF('Input-EWEMs'!D12="","",IF('Input-EWEMs'!D12="Water and sewer conservation",IF(INDEX('Input-EWEMs'!$U$52:$U$61, MATCH($C23, 'Input-EWEMs'!$C$52:$C$61, 0))=0,"No water savings for EWEM Category: Water and Sewer Conservation (Adjusted EWEM). ",""),IF(INDEX('Input-EWEMs'!$U$52:$U$61, MATCH($C23, 'Input-EWEMs'!$C$52:$C$61, 0))&gt;0,"Water savings were entered for energy-saving measure - confirm water savings are expected (Adjusted EWEM). ",""))),"")</f>
        <v/>
      </c>
      <c r="G23" s="303"/>
    </row>
    <row r="24" spans="2:7" s="210" customFormat="1" ht="36" customHeight="1">
      <c r="C24" s="318">
        <v>2</v>
      </c>
      <c r="D24" s="833" t="str">
        <f>IF('Input-EWEMs'!F13="", "", 'Input-EWEMs'!F13)</f>
        <v/>
      </c>
      <c r="E24" s="834"/>
      <c r="F24" s="317" t="str">
        <f ca="1">IFERROR(INDEX(EWEMQC!L$2:L$14,MATCH('Check Errors'!C24,EWEMQC!A$2:A$14,0)),"")&amp;
IF('Input-EWEMs'!D13&lt;&gt;"",IF(SUM('Input-EWEMs'!N13,'Input-EWEMs'!Q13)=0,"EWEM has no cost savings. ","")&amp;
IF(SUM('Input-EWEMs'!AF13,'Input-EWEMs'!AG13)=0,"EWEM has no energy or water savings. ",""),"")&amp;
IFERROR(IF(SUM(INDEX('Input-EWEMs'!$N$52:$N$61, MATCH($C24, 'Input-EWEMs'!$C$52:$C$61, 0)),INDEX('Input-EWEMs'!$Q$52:$Q$61, MATCH($C24, 'Input-EWEMs'!$C$52:$C$61, 0)))=0,"Adjusted EWEM has no cost savings. ",""),"")&amp;
IFERROR(IF(SUM(INDEX('Input-EWEMs'!$AF$52:$AF$61, MATCH($C24, 'Input-EWEMs'!$C$52:$C$61, 0)),INDEX('Input-EWEMs'!$AG$52:$AG$61, MATCH($C24, 'Input-EWEMs'!$C$52:$C$61, 0)))=0,"Adjusted EWEM has no energy or water savings. ",""),"")&amp;
IFERROR(IF(INDEX('DB-EWEMAdjusted'!K:K,MATCH('Check Errors'!C24,'DB-EWEMAdjusted'!C:C,0))&gt;INDEX('DB-EWEM'!K:K,MATCH('Check Errors'!C24,'DB-EWEM'!C:C,0)),"Cost of adjusted recommendation is greater than cost of originally recommended measure - confirm adjusted cost is correct. ",""),"")&amp;
IF('Input-EWEMs'!E13="","",IF(COUNTIF(MeasureList!$A$3:$N$24,'Input-EWEMs'!E13)&gt;0,IF(ISNUMBER(MATCH('Input-EWEMs'!E13,INDIRECT("MeasureList!"&amp;ADDRESS(1,MATCH('Input-EWEMs'!D13,MeasureList!A$1:'MeasureList'!N$1,0))):INDIRECT("MeasureList!"&amp;ADDRESS(24,MATCH('Input-EWEMs'!D13,MeasureList!A$1:'MeasureList'!N$1,0))),0)),"","Selected EWEM Type does not match EWEM Category. "),"Nonstandard EWEM type was entered - select best match from provided dropdown list. "))&amp;
IF('Input-EWEMs'!D13="","",IF('Input-EWEMs'!D13="Water and sewer conservation",IF('Input-EWEMs'!U13=0,"No water savings for EWEM Category: Water and Sewer Conservation. ",""),IF('Input-EWEMs'!U13&gt;0,"Water savings were entered for energy-saving measure - confirm water savings are expected. ","")))&amp;
IFERROR(IF('Input-EWEMs'!D13="","",IF('Input-EWEMs'!D13="Water and sewer conservation",IF(INDEX('Input-EWEMs'!$U$52:$U$61, MATCH($C24, 'Input-EWEMs'!$C$52:$C$61, 0))=0,"No water savings for EWEM Category: Water and Sewer Conservation (Adjusted EWEM). ",""),IF(INDEX('Input-EWEMs'!$U$52:$U$61, MATCH($C24, 'Input-EWEMs'!$C$52:$C$61, 0))&gt;0,"Water savings were entered for energy-saving measure - confirm water savings are expected (Adjusted EWEM). ",""))),"")</f>
        <v/>
      </c>
      <c r="G24" s="306"/>
    </row>
    <row r="25" spans="2:7" s="210" customFormat="1" ht="36" customHeight="1">
      <c r="C25" s="318">
        <v>3</v>
      </c>
      <c r="D25" s="833" t="str">
        <f>IF('Input-EWEMs'!F14="", "", 'Input-EWEMs'!F14)</f>
        <v/>
      </c>
      <c r="E25" s="834"/>
      <c r="F25" s="317" t="str">
        <f ca="1">IFERROR(INDEX(EWEMQC!L$2:L$14,MATCH('Check Errors'!C25,EWEMQC!A$2:A$14,0)),"")&amp;
IF('Input-EWEMs'!D14&lt;&gt;"",IF(SUM('Input-EWEMs'!N14,'Input-EWEMs'!Q14)=0,"EWEM has no cost savings. ","")&amp;
IF(SUM('Input-EWEMs'!AF14,'Input-EWEMs'!AG14)=0,"EWEM has no energy or water savings. ",""),"")&amp;
IFERROR(IF(SUM(INDEX('Input-EWEMs'!$N$52:$N$61, MATCH($C25, 'Input-EWEMs'!$C$52:$C$61, 0)),INDEX('Input-EWEMs'!$Q$52:$Q$61, MATCH($C25, 'Input-EWEMs'!$C$52:$C$61, 0)))=0,"Adjusted EWEM has no cost savings. ",""),"")&amp;
IFERROR(IF(SUM(INDEX('Input-EWEMs'!$AF$52:$AF$61, MATCH($C25, 'Input-EWEMs'!$C$52:$C$61, 0)),INDEX('Input-EWEMs'!$AG$52:$AG$61, MATCH($C25, 'Input-EWEMs'!$C$52:$C$61, 0)))=0,"Adjusted EWEM has no energy or water savings. ",""),"")&amp;
IFERROR(IF(INDEX('DB-EWEMAdjusted'!K:K,MATCH('Check Errors'!C25,'DB-EWEMAdjusted'!C:C,0))&gt;INDEX('DB-EWEM'!K:K,MATCH('Check Errors'!C25,'DB-EWEM'!C:C,0)),"Cost of adjusted recommendation is greater than cost of originally recommended measure - confirm adjusted cost is correct. ",""),"")&amp;
IF('Input-EWEMs'!E14="","",IF(COUNTIF(MeasureList!$A$3:$N$24,'Input-EWEMs'!E14)&gt;0,IF(ISNUMBER(MATCH('Input-EWEMs'!E14,INDIRECT("MeasureList!"&amp;ADDRESS(1,MATCH('Input-EWEMs'!D14,MeasureList!A$1:'MeasureList'!N$1,0))):INDIRECT("MeasureList!"&amp;ADDRESS(24,MATCH('Input-EWEMs'!D14,MeasureList!A$1:'MeasureList'!N$1,0))),0)),"","Selected EWEM Type does not match EWEM Category. "),"Nonstandard EWEM type was entered - select best match from provided dropdown list. "))&amp;
IF('Input-EWEMs'!D14="","",IF('Input-EWEMs'!D14="Water and sewer conservation",IF('Input-EWEMs'!U14=0,"No water savings for EWEM Category: Water and Sewer Conservation. ",""),IF('Input-EWEMs'!U14&gt;0,"Water savings were entered for energy-saving measure - confirm water savings are expected. ","")))&amp;
IFERROR(IF('Input-EWEMs'!D14="","",IF('Input-EWEMs'!D14="Water and sewer conservation",IF(INDEX('Input-EWEMs'!$U$52:$U$61, MATCH($C25, 'Input-EWEMs'!$C$52:$C$61, 0))=0,"No water savings for EWEM Category: Water and Sewer Conservation (Adjusted EWEM). ",""),IF(INDEX('Input-EWEMs'!$U$52:$U$61, MATCH($C25, 'Input-EWEMs'!$C$52:$C$61, 0))&gt;0,"Water savings were entered for energy-saving measure - confirm water savings are expected (Adjusted EWEM). ",""))),"")</f>
        <v/>
      </c>
      <c r="G25" s="306"/>
    </row>
    <row r="26" spans="2:7" s="210" customFormat="1" ht="36" customHeight="1">
      <c r="C26" s="318">
        <v>4</v>
      </c>
      <c r="D26" s="833" t="str">
        <f>IF('Input-EWEMs'!F15="", "", 'Input-EWEMs'!F15)</f>
        <v/>
      </c>
      <c r="E26" s="834"/>
      <c r="F26" s="317" t="str">
        <f ca="1">IFERROR(INDEX(EWEMQC!L$2:L$14,MATCH('Check Errors'!C26,EWEMQC!A$2:A$14,0)),"")&amp;
IF('Input-EWEMs'!D15&lt;&gt;"",IF(SUM('Input-EWEMs'!N15,'Input-EWEMs'!Q15)=0,"EWEM has no cost savings. ","")&amp;
IF(SUM('Input-EWEMs'!AF15,'Input-EWEMs'!AG15)=0,"EWEM has no energy or water savings. ",""),"")&amp;
IFERROR(IF(SUM(INDEX('Input-EWEMs'!$N$52:$N$61, MATCH($C26, 'Input-EWEMs'!$C$52:$C$61, 0)),INDEX('Input-EWEMs'!$Q$52:$Q$61, MATCH($C26, 'Input-EWEMs'!$C$52:$C$61, 0)))=0,"Adjusted EWEM has no cost savings. ",""),"")&amp;
IFERROR(IF(SUM(INDEX('Input-EWEMs'!$AF$52:$AF$61, MATCH($C26, 'Input-EWEMs'!$C$52:$C$61, 0)),INDEX('Input-EWEMs'!$AG$52:$AG$61, MATCH($C26, 'Input-EWEMs'!$C$52:$C$61, 0)))=0,"Adjusted EWEM has no energy or water savings. ",""),"")&amp;
IFERROR(IF(INDEX('DB-EWEMAdjusted'!K:K,MATCH('Check Errors'!C26,'DB-EWEMAdjusted'!C:C,0))&gt;INDEX('DB-EWEM'!K:K,MATCH('Check Errors'!C26,'DB-EWEM'!C:C,0)),"Cost of adjusted recommendation is greater than cost of originally recommended measure - confirm adjusted cost is correct. ",""),"")&amp;
IF('Input-EWEMs'!E15="","",IF(COUNTIF(MeasureList!$A$3:$N$24,'Input-EWEMs'!E15)&gt;0,IF(ISNUMBER(MATCH('Input-EWEMs'!E15,INDIRECT("MeasureList!"&amp;ADDRESS(1,MATCH('Input-EWEMs'!D15,MeasureList!A$1:'MeasureList'!N$1,0))):INDIRECT("MeasureList!"&amp;ADDRESS(24,MATCH('Input-EWEMs'!D15,MeasureList!A$1:'MeasureList'!N$1,0))),0)),"","Selected EWEM Type does not match EWEM Category. "),"Nonstandard EWEM type was entered - select best match from provided dropdown list. "))&amp;
IF('Input-EWEMs'!D15="","",IF('Input-EWEMs'!D15="Water and sewer conservation",IF('Input-EWEMs'!U15=0,"No water savings for EWEM Category: Water and Sewer Conservation. ",""),IF('Input-EWEMs'!U15&gt;0,"Water savings were entered for energy-saving measure - confirm water savings are expected. ","")))&amp;
IFERROR(IF('Input-EWEMs'!D15="","",IF('Input-EWEMs'!D15="Water and sewer conservation",IF(INDEX('Input-EWEMs'!$U$52:$U$61, MATCH($C26, 'Input-EWEMs'!$C$52:$C$61, 0))=0,"No water savings for EWEM Category: Water and Sewer Conservation (Adjusted EWEM). ",""),IF(INDEX('Input-EWEMs'!$U$52:$U$61, MATCH($C26, 'Input-EWEMs'!$C$52:$C$61, 0))&gt;0,"Water savings were entered for energy-saving measure - confirm water savings are expected (Adjusted EWEM). ",""))),"")</f>
        <v/>
      </c>
      <c r="G26" s="306"/>
    </row>
    <row r="27" spans="2:7" s="210" customFormat="1" ht="36" customHeight="1">
      <c r="C27" s="318">
        <v>5</v>
      </c>
      <c r="D27" s="833" t="str">
        <f>IF('Input-EWEMs'!F16="", "", 'Input-EWEMs'!F16)</f>
        <v/>
      </c>
      <c r="E27" s="834"/>
      <c r="F27" s="317" t="str">
        <f ca="1">IFERROR(INDEX(EWEMQC!L$2:L$14,MATCH('Check Errors'!C27,EWEMQC!A$2:A$14,0)),"")&amp;
IF('Input-EWEMs'!D16&lt;&gt;"",IF(SUM('Input-EWEMs'!N16,'Input-EWEMs'!Q16)=0,"EWEM has no cost savings. ","")&amp;
IF(SUM('Input-EWEMs'!AF16,'Input-EWEMs'!AG16)=0,"EWEM has no energy or water savings. ",""),"")&amp;
IFERROR(IF(SUM(INDEX('Input-EWEMs'!$N$52:$N$61, MATCH($C27, 'Input-EWEMs'!$C$52:$C$61, 0)),INDEX('Input-EWEMs'!$Q$52:$Q$61, MATCH($C27, 'Input-EWEMs'!$C$52:$C$61, 0)))=0,"Adjusted EWEM has no cost savings. ",""),"")&amp;
IFERROR(IF(SUM(INDEX('Input-EWEMs'!$AF$52:$AF$61, MATCH($C27, 'Input-EWEMs'!$C$52:$C$61, 0)),INDEX('Input-EWEMs'!$AG$52:$AG$61, MATCH($C27, 'Input-EWEMs'!$C$52:$C$61, 0)))=0,"Adjusted EWEM has no energy or water savings. ",""),"")&amp;
IFERROR(IF(INDEX('DB-EWEMAdjusted'!K:K,MATCH('Check Errors'!C27,'DB-EWEMAdjusted'!C:C,0))&gt;INDEX('DB-EWEM'!K:K,MATCH('Check Errors'!C27,'DB-EWEM'!C:C,0)),"Cost of adjusted recommendation is greater than cost of originally recommended measure - confirm adjusted cost is correct. ",""),"")&amp;
IF('Input-EWEMs'!E16="","",IF(COUNTIF(MeasureList!$A$3:$N$24,'Input-EWEMs'!E16)&gt;0,IF(ISNUMBER(MATCH('Input-EWEMs'!E16,INDIRECT("MeasureList!"&amp;ADDRESS(1,MATCH('Input-EWEMs'!D16,MeasureList!A$1:'MeasureList'!N$1,0))):INDIRECT("MeasureList!"&amp;ADDRESS(24,MATCH('Input-EWEMs'!D16,MeasureList!A$1:'MeasureList'!N$1,0))),0)),"","Selected EWEM Type does not match EWEM Category. "),"Nonstandard EWEM type was entered - select best match from provided dropdown list. "))&amp;
IF('Input-EWEMs'!D16="","",IF('Input-EWEMs'!D16="Water and sewer conservation",IF('Input-EWEMs'!U16=0,"No water savings for EWEM Category: Water and Sewer Conservation. ",""),IF('Input-EWEMs'!U16&gt;0,"Water savings were entered for energy-saving measure - confirm water savings are expected. ","")))&amp;
IFERROR(IF('Input-EWEMs'!D16="","",IF('Input-EWEMs'!D16="Water and sewer conservation",IF(INDEX('Input-EWEMs'!$U$52:$U$61, MATCH($C27, 'Input-EWEMs'!$C$52:$C$61, 0))=0,"No water savings for EWEM Category: Water and Sewer Conservation (Adjusted EWEM). ",""),IF(INDEX('Input-EWEMs'!$U$52:$U$61, MATCH($C27, 'Input-EWEMs'!$C$52:$C$61, 0))&gt;0,"Water savings were entered for energy-saving measure - confirm water savings are expected (Adjusted EWEM). ",""))),"")</f>
        <v/>
      </c>
      <c r="G27" s="306"/>
    </row>
    <row r="28" spans="2:7" s="210" customFormat="1" ht="36" customHeight="1">
      <c r="C28" s="318">
        <v>6</v>
      </c>
      <c r="D28" s="833" t="str">
        <f>IF('Input-EWEMs'!F17="", "", 'Input-EWEMs'!F17)</f>
        <v/>
      </c>
      <c r="E28" s="834"/>
      <c r="F28" s="317" t="str">
        <f ca="1">IFERROR(INDEX(EWEMQC!L$2:L$14,MATCH('Check Errors'!C28,EWEMQC!A$2:A$14,0)),"")&amp;
IF('Input-EWEMs'!D17&lt;&gt;"",IF(SUM('Input-EWEMs'!N17,'Input-EWEMs'!Q17)=0,"EWEM has no cost savings. ","")&amp;
IF(SUM('Input-EWEMs'!AF17,'Input-EWEMs'!AG17)=0,"EWEM has no energy or water savings. ",""),"")&amp;
IFERROR(IF(SUM(INDEX('Input-EWEMs'!$N$52:$N$61, MATCH($C28, 'Input-EWEMs'!$C$52:$C$61, 0)),INDEX('Input-EWEMs'!$Q$52:$Q$61, MATCH($C28, 'Input-EWEMs'!$C$52:$C$61, 0)))=0,"Adjusted EWEM has no cost savings. ",""),"")&amp;
IFERROR(IF(SUM(INDEX('Input-EWEMs'!$AF$52:$AF$61, MATCH($C28, 'Input-EWEMs'!$C$52:$C$61, 0)),INDEX('Input-EWEMs'!$AG$52:$AG$61, MATCH($C28, 'Input-EWEMs'!$C$52:$C$61, 0)))=0,"Adjusted EWEM has no energy or water savings. ",""),"")&amp;
IFERROR(IF(INDEX('DB-EWEMAdjusted'!K:K,MATCH('Check Errors'!C28,'DB-EWEMAdjusted'!C:C,0))&gt;INDEX('DB-EWEM'!K:K,MATCH('Check Errors'!C28,'DB-EWEM'!C:C,0)),"Cost of adjusted recommendation is greater than cost of originally recommended measure - confirm adjusted cost is correct. ",""),"")&amp;
IF('Input-EWEMs'!E17="","",IF(COUNTIF(MeasureList!$A$3:$N$24,'Input-EWEMs'!E17)&gt;0,IF(ISNUMBER(MATCH('Input-EWEMs'!E17,INDIRECT("MeasureList!"&amp;ADDRESS(1,MATCH('Input-EWEMs'!D17,MeasureList!A$1:'MeasureList'!N$1,0))):INDIRECT("MeasureList!"&amp;ADDRESS(24,MATCH('Input-EWEMs'!D17,MeasureList!A$1:'MeasureList'!N$1,0))),0)),"","Selected EWEM Type does not match EWEM Category. "),"Nonstandard EWEM type was entered - select best match from provided dropdown list. "))&amp;
IF('Input-EWEMs'!D17="","",IF('Input-EWEMs'!D17="Water and sewer conservation",IF('Input-EWEMs'!U17=0,"No water savings for EWEM Category: Water and Sewer Conservation. ",""),IF('Input-EWEMs'!U17&gt;0,"Water savings were entered for energy-saving measure - confirm water savings are expected. ","")))&amp;
IFERROR(IF('Input-EWEMs'!D17="","",IF('Input-EWEMs'!D17="Water and sewer conservation",IF(INDEX('Input-EWEMs'!$U$52:$U$61, MATCH($C28, 'Input-EWEMs'!$C$52:$C$61, 0))=0,"No water savings for EWEM Category: Water and Sewer Conservation (Adjusted EWEM). ",""),IF(INDEX('Input-EWEMs'!$U$52:$U$61, MATCH($C28, 'Input-EWEMs'!$C$52:$C$61, 0))&gt;0,"Water savings were entered for energy-saving measure - confirm water savings are expected (Adjusted EWEM). ",""))),"")</f>
        <v/>
      </c>
      <c r="G28" s="306"/>
    </row>
    <row r="29" spans="2:7" s="210" customFormat="1" ht="36" customHeight="1">
      <c r="C29" s="318">
        <v>7</v>
      </c>
      <c r="D29" s="833" t="str">
        <f>IF('Input-EWEMs'!F18="", "", 'Input-EWEMs'!F18)</f>
        <v/>
      </c>
      <c r="E29" s="834"/>
      <c r="F29" s="317" t="str">
        <f ca="1">IFERROR(INDEX(EWEMQC!L$2:L$14,MATCH('Check Errors'!C29,EWEMQC!A$2:A$14,0)),"")&amp;
IF('Input-EWEMs'!D18&lt;&gt;"",IF(SUM('Input-EWEMs'!N18,'Input-EWEMs'!Q18)=0,"EWEM has no cost savings. ","")&amp;
IF(SUM('Input-EWEMs'!AF18,'Input-EWEMs'!AG18)=0,"EWEM has no energy or water savings. ",""),"")&amp;
IFERROR(IF(SUM(INDEX('Input-EWEMs'!$N$52:$N$61, MATCH($C29, 'Input-EWEMs'!$C$52:$C$61, 0)),INDEX('Input-EWEMs'!$Q$52:$Q$61, MATCH($C29, 'Input-EWEMs'!$C$52:$C$61, 0)))=0,"Adjusted EWEM has no cost savings. ",""),"")&amp;
IFERROR(IF(SUM(INDEX('Input-EWEMs'!$AF$52:$AF$61, MATCH($C29, 'Input-EWEMs'!$C$52:$C$61, 0)),INDEX('Input-EWEMs'!$AG$52:$AG$61, MATCH($C29, 'Input-EWEMs'!$C$52:$C$61, 0)))=0,"Adjusted EWEM has no energy or water savings. ",""),"")&amp;
IFERROR(IF(INDEX('DB-EWEMAdjusted'!K:K,MATCH('Check Errors'!C29,'DB-EWEMAdjusted'!C:C,0))&gt;INDEX('DB-EWEM'!K:K,MATCH('Check Errors'!C29,'DB-EWEM'!C:C,0)),"Cost of adjusted recommendation is greater than cost of originally recommended measure - confirm adjusted cost is correct. ",""),"")&amp;
IF('Input-EWEMs'!E18="","",IF(COUNTIF(MeasureList!$A$3:$N$24,'Input-EWEMs'!E18)&gt;0,IF(ISNUMBER(MATCH('Input-EWEMs'!E18,INDIRECT("MeasureList!"&amp;ADDRESS(1,MATCH('Input-EWEMs'!D18,MeasureList!A$1:'MeasureList'!N$1,0))):INDIRECT("MeasureList!"&amp;ADDRESS(24,MATCH('Input-EWEMs'!D18,MeasureList!A$1:'MeasureList'!N$1,0))),0)),"","Selected EWEM Type does not match EWEM Category. "),"Nonstandard EWEM type was entered - select best match from provided dropdown list. "))&amp;
IF('Input-EWEMs'!D18="","",IF('Input-EWEMs'!D18="Water and sewer conservation",IF('Input-EWEMs'!U18=0,"No water savings for EWEM Category: Water and Sewer Conservation. ",""),IF('Input-EWEMs'!U18&gt;0,"Water savings were entered for energy-saving measure - confirm water savings are expected. ","")))&amp;
IFERROR(IF('Input-EWEMs'!D18="","",IF('Input-EWEMs'!D18="Water and sewer conservation",IF(INDEX('Input-EWEMs'!$U$52:$U$61, MATCH($C29, 'Input-EWEMs'!$C$52:$C$61, 0))=0,"No water savings for EWEM Category: Water and Sewer Conservation (Adjusted EWEM). ",""),IF(INDEX('Input-EWEMs'!$U$52:$U$61, MATCH($C29, 'Input-EWEMs'!$C$52:$C$61, 0))&gt;0,"Water savings were entered for energy-saving measure - confirm water savings are expected (Adjusted EWEM). ",""))),"")</f>
        <v/>
      </c>
      <c r="G29" s="306"/>
    </row>
    <row r="30" spans="2:7" s="210" customFormat="1" ht="36" customHeight="1">
      <c r="C30" s="318">
        <v>8</v>
      </c>
      <c r="D30" s="833" t="str">
        <f>IF('Input-EWEMs'!F19="", "", 'Input-EWEMs'!F19)</f>
        <v/>
      </c>
      <c r="E30" s="834"/>
      <c r="F30" s="317" t="str">
        <f ca="1">IFERROR(INDEX(EWEMQC!L$2:L$14,MATCH('Check Errors'!C30,EWEMQC!A$2:A$14,0)),"")&amp;
IF('Input-EWEMs'!D19&lt;&gt;"",IF(SUM('Input-EWEMs'!N19,'Input-EWEMs'!Q19)=0,"EWEM has no cost savings. ","")&amp;
IF(SUM('Input-EWEMs'!AF19,'Input-EWEMs'!AG19)=0,"EWEM has no energy or water savings. ",""),"")&amp;
IFERROR(IF(SUM(INDEX('Input-EWEMs'!$N$52:$N$61, MATCH($C30, 'Input-EWEMs'!$C$52:$C$61, 0)),INDEX('Input-EWEMs'!$Q$52:$Q$61, MATCH($C30, 'Input-EWEMs'!$C$52:$C$61, 0)))=0,"Adjusted EWEM has no cost savings. ",""),"")&amp;
IFERROR(IF(SUM(INDEX('Input-EWEMs'!$AF$52:$AF$61, MATCH($C30, 'Input-EWEMs'!$C$52:$C$61, 0)),INDEX('Input-EWEMs'!$AG$52:$AG$61, MATCH($C30, 'Input-EWEMs'!$C$52:$C$61, 0)))=0,"Adjusted EWEM has no energy or water savings. ",""),"")&amp;
IFERROR(IF(INDEX('DB-EWEMAdjusted'!K:K,MATCH('Check Errors'!C30,'DB-EWEMAdjusted'!C:C,0))&gt;INDEX('DB-EWEM'!K:K,MATCH('Check Errors'!C30,'DB-EWEM'!C:C,0)),"Cost of adjusted recommendation is greater than cost of originally recommended measure - confirm adjusted cost is correct. ",""),"")&amp;
IF('Input-EWEMs'!E19="","",IF(COUNTIF(MeasureList!$A$3:$N$24,'Input-EWEMs'!E19)&gt;0,IF(ISNUMBER(MATCH('Input-EWEMs'!E19,INDIRECT("MeasureList!"&amp;ADDRESS(1,MATCH('Input-EWEMs'!D19,MeasureList!A$1:'MeasureList'!N$1,0))):INDIRECT("MeasureList!"&amp;ADDRESS(24,MATCH('Input-EWEMs'!D19,MeasureList!A$1:'MeasureList'!N$1,0))),0)),"","Selected EWEM Type does not match EWEM Category. "),"Nonstandard EWEM type was entered - select best match from provided dropdown list. "))&amp;
IF('Input-EWEMs'!D19="","",IF('Input-EWEMs'!D19="Water and sewer conservation",IF('Input-EWEMs'!U19=0,"No water savings for EWEM Category: Water and Sewer Conservation. ",""),IF('Input-EWEMs'!U19&gt;0,"Water savings were entered for energy-saving measure - confirm water savings are expected. ","")))&amp;
IFERROR(IF('Input-EWEMs'!D19="","",IF('Input-EWEMs'!D19="Water and sewer conservation",IF(INDEX('Input-EWEMs'!$U$52:$U$61, MATCH($C30, 'Input-EWEMs'!$C$52:$C$61, 0))=0,"No water savings for EWEM Category: Water and Sewer Conservation (Adjusted EWEM). ",""),IF(INDEX('Input-EWEMs'!$U$52:$U$61, MATCH($C30, 'Input-EWEMs'!$C$52:$C$61, 0))&gt;0,"Water savings were entered for energy-saving measure - confirm water savings are expected (Adjusted EWEM). ",""))),"")</f>
        <v/>
      </c>
      <c r="G30" s="306"/>
    </row>
    <row r="31" spans="2:7" s="210" customFormat="1" ht="36" customHeight="1">
      <c r="C31" s="318">
        <v>9</v>
      </c>
      <c r="D31" s="833" t="str">
        <f>IF('Input-EWEMs'!F20="", "", 'Input-EWEMs'!F20)</f>
        <v/>
      </c>
      <c r="E31" s="834"/>
      <c r="F31" s="317" t="str">
        <f ca="1">IFERROR(INDEX(EWEMQC!L$2:L$14,MATCH('Check Errors'!C31,EWEMQC!A$2:A$14,0)),"")&amp;
IF('Input-EWEMs'!D20&lt;&gt;"",IF(SUM('Input-EWEMs'!N20,'Input-EWEMs'!Q20)=0,"EWEM has no cost savings. ","")&amp;
IF(SUM('Input-EWEMs'!AF20,'Input-EWEMs'!AG20)=0,"EWEM has no energy or water savings. ",""),"")&amp;
IFERROR(IF(SUM(INDEX('Input-EWEMs'!$N$52:$N$61, MATCH($C31, 'Input-EWEMs'!$C$52:$C$61, 0)),INDEX('Input-EWEMs'!$Q$52:$Q$61, MATCH($C31, 'Input-EWEMs'!$C$52:$C$61, 0)))=0,"Adjusted EWEM has no cost savings. ",""),"")&amp;
IFERROR(IF(SUM(INDEX('Input-EWEMs'!$AF$52:$AF$61, MATCH($C31, 'Input-EWEMs'!$C$52:$C$61, 0)),INDEX('Input-EWEMs'!$AG$52:$AG$61, MATCH($C31, 'Input-EWEMs'!$C$52:$C$61, 0)))=0,"Adjusted EWEM has no energy or water savings. ",""),"")&amp;
IFERROR(IF(INDEX('DB-EWEMAdjusted'!K:K,MATCH('Check Errors'!C31,'DB-EWEMAdjusted'!C:C,0))&gt;INDEX('DB-EWEM'!K:K,MATCH('Check Errors'!C31,'DB-EWEM'!C:C,0)),"Cost of adjusted recommendation is greater than cost of originally recommended measure - confirm adjusted cost is correct. ",""),"")&amp;
IF('Input-EWEMs'!E20="","",IF(COUNTIF(MeasureList!$A$3:$N$24,'Input-EWEMs'!E20)&gt;0,IF(ISNUMBER(MATCH('Input-EWEMs'!E20,INDIRECT("MeasureList!"&amp;ADDRESS(1,MATCH('Input-EWEMs'!D20,MeasureList!A$1:'MeasureList'!N$1,0))):INDIRECT("MeasureList!"&amp;ADDRESS(24,MATCH('Input-EWEMs'!D20,MeasureList!A$1:'MeasureList'!N$1,0))),0)),"","Selected EWEM Type does not match EWEM Category. "),"Nonstandard EWEM type was entered - select best match from provided dropdown list. "))&amp;
IF('Input-EWEMs'!D20="","",IF('Input-EWEMs'!D20="Water and sewer conservation",IF('Input-EWEMs'!U20=0,"No water savings for EWEM Category: Water and Sewer Conservation. ",""),IF('Input-EWEMs'!U20&gt;0,"Water savings were entered for energy-saving measure - confirm water savings are expected. ","")))&amp;
IFERROR(IF('Input-EWEMs'!D20="","",IF('Input-EWEMs'!D20="Water and sewer conservation",IF(INDEX('Input-EWEMs'!$U$52:$U$61, MATCH($C31, 'Input-EWEMs'!$C$52:$C$61, 0))=0,"No water savings for EWEM Category: Water and Sewer Conservation (Adjusted EWEM). ",""),IF(INDEX('Input-EWEMs'!$U$52:$U$61, MATCH($C31, 'Input-EWEMs'!$C$52:$C$61, 0))&gt;0,"Water savings were entered for energy-saving measure - confirm water savings are expected (Adjusted EWEM). ",""))),"")</f>
        <v/>
      </c>
      <c r="G31" s="306"/>
    </row>
    <row r="32" spans="2:7" s="210" customFormat="1" ht="36" customHeight="1">
      <c r="C32" s="318">
        <v>10</v>
      </c>
      <c r="D32" s="833" t="str">
        <f>IF('Input-EWEMs'!F21="", "", 'Input-EWEMs'!F21)</f>
        <v/>
      </c>
      <c r="E32" s="834"/>
      <c r="F32" s="317" t="str">
        <f ca="1">IFERROR(INDEX(EWEMQC!L$2:L$14,MATCH('Check Errors'!C32,EWEMQC!A$2:A$14,0)),"")&amp;
IF('Input-EWEMs'!D21&lt;&gt;"",IF(SUM('Input-EWEMs'!N21,'Input-EWEMs'!Q21)=0,"EWEM has no cost savings. ","")&amp;
IF(SUM('Input-EWEMs'!AF21,'Input-EWEMs'!AG21)=0,"EWEM has no energy or water savings. ",""),"")&amp;
IFERROR(IF(SUM(INDEX('Input-EWEMs'!$N$52:$N$61, MATCH($C32, 'Input-EWEMs'!$C$52:$C$61, 0)),INDEX('Input-EWEMs'!$Q$52:$Q$61, MATCH($C32, 'Input-EWEMs'!$C$52:$C$61, 0)))=0,"Adjusted EWEM has no cost savings. ",""),"")&amp;
IFERROR(IF(SUM(INDEX('Input-EWEMs'!$AF$52:$AF$61, MATCH($C32, 'Input-EWEMs'!$C$52:$C$61, 0)),INDEX('Input-EWEMs'!$AG$52:$AG$61, MATCH($C32, 'Input-EWEMs'!$C$52:$C$61, 0)))=0,"Adjusted EWEM has no energy or water savings. ",""),"")&amp;
IFERROR(IF(INDEX('DB-EWEMAdjusted'!K:K,MATCH('Check Errors'!C32,'DB-EWEMAdjusted'!C:C,0))&gt;INDEX('DB-EWEM'!K:K,MATCH('Check Errors'!C32,'DB-EWEM'!C:C,0)),"Cost of adjusted recommendation is greater than cost of originally recommended measure - confirm adjusted cost is correct. ",""),"")&amp;
IF('Input-EWEMs'!E21="","",IF(COUNTIF(MeasureList!$A$3:$N$24,'Input-EWEMs'!E21)&gt;0,IF(ISNUMBER(MATCH('Input-EWEMs'!E21,INDIRECT("MeasureList!"&amp;ADDRESS(1,MATCH('Input-EWEMs'!D21,MeasureList!A$1:'MeasureList'!N$1,0))):INDIRECT("MeasureList!"&amp;ADDRESS(24,MATCH('Input-EWEMs'!D21,MeasureList!A$1:'MeasureList'!N$1,0))),0)),"","Selected EWEM Type does not match EWEM Category. "),"Nonstandard EWEM type was entered - select best match from provided dropdown list. "))&amp;
IF('Input-EWEMs'!D21="","",IF('Input-EWEMs'!D21="Water and sewer conservation",IF('Input-EWEMs'!U21=0,"No water savings for EWEM Category: Water and Sewer Conservation. ",""),IF('Input-EWEMs'!U21&gt;0,"Water savings were entered for energy-saving measure - confirm water savings are expected. ","")))&amp;
IFERROR(IF('Input-EWEMs'!D21="","",IF('Input-EWEMs'!D21="Water and sewer conservation",IF(INDEX('Input-EWEMs'!$U$52:$U$61, MATCH($C32, 'Input-EWEMs'!$C$52:$C$61, 0))=0,"No water savings for EWEM Category: Water and Sewer Conservation (Adjusted EWEM). ",""),IF(INDEX('Input-EWEMs'!$U$52:$U$61, MATCH($C32, 'Input-EWEMs'!$C$52:$C$61, 0))&gt;0,"Water savings were entered for energy-saving measure - confirm water savings are expected (Adjusted EWEM). ",""))),"")</f>
        <v/>
      </c>
      <c r="G32" s="306"/>
    </row>
    <row r="33" spans="3:7" s="210" customFormat="1" ht="36" customHeight="1">
      <c r="C33" s="318">
        <v>11</v>
      </c>
      <c r="D33" s="833" t="str">
        <f>IF('Input-EWEMs'!F22="", "", 'Input-EWEMs'!F22)</f>
        <v/>
      </c>
      <c r="E33" s="834"/>
      <c r="F33" s="317" t="str">
        <f ca="1">IFERROR(INDEX(EWEMQC!L$2:L$14,MATCH('Check Errors'!C33,EWEMQC!A$2:A$14,0)),"")&amp;
IF('Input-EWEMs'!D22&lt;&gt;"",IF(SUM('Input-EWEMs'!N22,'Input-EWEMs'!Q22)=0,"EWEM has no cost savings. ","")&amp;
IF(SUM('Input-EWEMs'!AF22,'Input-EWEMs'!AG22)=0,"EWEM has no energy or water savings. ",""),"")&amp;
IFERROR(IF(SUM(INDEX('Input-EWEMs'!$N$52:$N$61, MATCH($C33, 'Input-EWEMs'!$C$52:$C$61, 0)),INDEX('Input-EWEMs'!$Q$52:$Q$61, MATCH($C33, 'Input-EWEMs'!$C$52:$C$61, 0)))=0,"Adjusted EWEM has no cost savings. ",""),"")&amp;
IFERROR(IF(SUM(INDEX('Input-EWEMs'!$AF$52:$AF$61, MATCH($C33, 'Input-EWEMs'!$C$52:$C$61, 0)),INDEX('Input-EWEMs'!$AG$52:$AG$61, MATCH($C33, 'Input-EWEMs'!$C$52:$C$61, 0)))=0,"Adjusted EWEM has no energy or water savings. ",""),"")&amp;
IFERROR(IF(INDEX('DB-EWEMAdjusted'!K:K,MATCH('Check Errors'!C33,'DB-EWEMAdjusted'!C:C,0))&gt;INDEX('DB-EWEM'!K:K,MATCH('Check Errors'!C33,'DB-EWEM'!C:C,0)),"Cost of adjusted recommendation is greater than cost of originally recommended measure - confirm adjusted cost is correct. ",""),"")&amp;
IF('Input-EWEMs'!E22="","",IF(COUNTIF(MeasureList!$A$3:$N$24,'Input-EWEMs'!E22)&gt;0,IF(ISNUMBER(MATCH('Input-EWEMs'!E22,INDIRECT("MeasureList!"&amp;ADDRESS(1,MATCH('Input-EWEMs'!D22,MeasureList!A$1:'MeasureList'!N$1,0))):INDIRECT("MeasureList!"&amp;ADDRESS(24,MATCH('Input-EWEMs'!D22,MeasureList!A$1:'MeasureList'!N$1,0))),0)),"","Selected EWEM Type does not match EWEM Category. "),"Nonstandard EWEM type was entered - select best match from provided dropdown list. "))&amp;
IF('Input-EWEMs'!D22="","",IF('Input-EWEMs'!D22="Water and sewer conservation",IF('Input-EWEMs'!U22=0,"No water savings for EWEM Category: Water and Sewer Conservation. ",""),IF('Input-EWEMs'!U22&gt;0,"Water savings were entered for energy-saving measure - confirm water savings are expected. ","")))&amp;
IFERROR(IF('Input-EWEMs'!D22="","",IF('Input-EWEMs'!D22="Water and sewer conservation",IF(INDEX('Input-EWEMs'!$U$52:$U$61, MATCH($C33, 'Input-EWEMs'!$C$52:$C$61, 0))=0,"No water savings for EWEM Category: Water and Sewer Conservation (Adjusted EWEM). ",""),IF(INDEX('Input-EWEMs'!$U$52:$U$61, MATCH($C33, 'Input-EWEMs'!$C$52:$C$61, 0))&gt;0,"Water savings were entered for energy-saving measure - confirm water savings are expected (Adjusted EWEM). ",""))),"")</f>
        <v/>
      </c>
      <c r="G33" s="306"/>
    </row>
    <row r="34" spans="3:7" s="210" customFormat="1" ht="36" customHeight="1">
      <c r="C34" s="318">
        <v>12</v>
      </c>
      <c r="D34" s="833" t="str">
        <f>IF('Input-EWEMs'!F23="", "", 'Input-EWEMs'!F23)</f>
        <v/>
      </c>
      <c r="E34" s="834"/>
      <c r="F34" s="317" t="str">
        <f ca="1">IFERROR(INDEX(EWEMQC!L$2:L$14,MATCH('Check Errors'!C34,EWEMQC!A$2:A$14,0)),"")&amp;
IF('Input-EWEMs'!D23&lt;&gt;"",IF(SUM('Input-EWEMs'!N23,'Input-EWEMs'!Q23)=0,"EWEM has no cost savings. ","")&amp;
IF(SUM('Input-EWEMs'!AF23,'Input-EWEMs'!AG23)=0,"EWEM has no energy or water savings. ",""),"")&amp;
IFERROR(IF(SUM(INDEX('Input-EWEMs'!$N$52:$N$61, MATCH($C34, 'Input-EWEMs'!$C$52:$C$61, 0)),INDEX('Input-EWEMs'!$Q$52:$Q$61, MATCH($C34, 'Input-EWEMs'!$C$52:$C$61, 0)))=0,"Adjusted EWEM has no cost savings. ",""),"")&amp;
IFERROR(IF(SUM(INDEX('Input-EWEMs'!$AF$52:$AF$61, MATCH($C34, 'Input-EWEMs'!$C$52:$C$61, 0)),INDEX('Input-EWEMs'!$AG$52:$AG$61, MATCH($C34, 'Input-EWEMs'!$C$52:$C$61, 0)))=0,"Adjusted EWEM has no energy or water savings. ",""),"")&amp;
IFERROR(IF(INDEX('DB-EWEMAdjusted'!K:K,MATCH('Check Errors'!C34,'DB-EWEMAdjusted'!C:C,0))&gt;INDEX('DB-EWEM'!K:K,MATCH('Check Errors'!C34,'DB-EWEM'!C:C,0)),"Cost of adjusted recommendation is greater than cost of originally recommended measure - confirm adjusted cost is correct. ",""),"")&amp;
IF('Input-EWEMs'!E23="","",IF(COUNTIF(MeasureList!$A$3:$N$24,'Input-EWEMs'!E23)&gt;0,IF(ISNUMBER(MATCH('Input-EWEMs'!E23,INDIRECT("MeasureList!"&amp;ADDRESS(1,MATCH('Input-EWEMs'!D23,MeasureList!A$1:'MeasureList'!N$1,0))):INDIRECT("MeasureList!"&amp;ADDRESS(24,MATCH('Input-EWEMs'!D23,MeasureList!A$1:'MeasureList'!N$1,0))),0)),"","Selected EWEM Type does not match EWEM Category. "),"Nonstandard EWEM type was entered - select best match from provided dropdown list. "))&amp;
IF('Input-EWEMs'!D23="","",IF('Input-EWEMs'!D23="Water and sewer conservation",IF('Input-EWEMs'!U23=0,"No water savings for EWEM Category: Water and Sewer Conservation. ",""),IF('Input-EWEMs'!U23&gt;0,"Water savings were entered for energy-saving measure - confirm water savings are expected. ","")))&amp;
IFERROR(IF('Input-EWEMs'!D23="","",IF('Input-EWEMs'!D23="Water and sewer conservation",IF(INDEX('Input-EWEMs'!$U$52:$U$61, MATCH($C34, 'Input-EWEMs'!$C$52:$C$61, 0))=0,"No water savings for EWEM Category: Water and Sewer Conservation (Adjusted EWEM). ",""),IF(INDEX('Input-EWEMs'!$U$52:$U$61, MATCH($C34, 'Input-EWEMs'!$C$52:$C$61, 0))&gt;0,"Water savings were entered for energy-saving measure - confirm water savings are expected (Adjusted EWEM). ",""))),"")</f>
        <v/>
      </c>
      <c r="G34" s="306"/>
    </row>
    <row r="35" spans="3:7" s="210" customFormat="1" ht="36" customHeight="1">
      <c r="C35" s="318">
        <v>13</v>
      </c>
      <c r="D35" s="833" t="str">
        <f>IF('Input-EWEMs'!F24="", "", 'Input-EWEMs'!F24)</f>
        <v/>
      </c>
      <c r="E35" s="834"/>
      <c r="F35" s="317" t="str">
        <f ca="1">IFERROR(INDEX(EWEMQC!L$2:L$14,MATCH('Check Errors'!C35,EWEMQC!A$2:A$14,0)),"")&amp;
IF('Input-EWEMs'!D24&lt;&gt;"",IF(SUM('Input-EWEMs'!N24,'Input-EWEMs'!Q24)=0,"EWEM has no cost savings. ","")&amp;
IF(SUM('Input-EWEMs'!AF24,'Input-EWEMs'!AG24)=0,"EWEM has no energy or water savings. ",""),"")&amp;
IFERROR(IF(SUM(INDEX('Input-EWEMs'!$N$52:$N$61, MATCH($C35, 'Input-EWEMs'!$C$52:$C$61, 0)),INDEX('Input-EWEMs'!$Q$52:$Q$61, MATCH($C35, 'Input-EWEMs'!$C$52:$C$61, 0)))=0,"Adjusted EWEM has no cost savings. ",""),"")&amp;
IFERROR(IF(SUM(INDEX('Input-EWEMs'!$AF$52:$AF$61, MATCH($C35, 'Input-EWEMs'!$C$52:$C$61, 0)),INDEX('Input-EWEMs'!$AG$52:$AG$61, MATCH($C35, 'Input-EWEMs'!$C$52:$C$61, 0)))=0,"Adjusted EWEM has no energy or water savings. ",""),"")&amp;
IFERROR(IF(INDEX('DB-EWEMAdjusted'!K:K,MATCH('Check Errors'!C35,'DB-EWEMAdjusted'!C:C,0))&gt;INDEX('DB-EWEM'!K:K,MATCH('Check Errors'!C35,'DB-EWEM'!C:C,0)),"Cost of adjusted recommendation is greater than cost of originally recommended measure - confirm adjusted cost is correct. ",""),"")&amp;
IF('Input-EWEMs'!E24="","",IF(COUNTIF(MeasureList!$A$3:$N$24,'Input-EWEMs'!E24)&gt;0,IF(ISNUMBER(MATCH('Input-EWEMs'!E24,INDIRECT("MeasureList!"&amp;ADDRESS(1,MATCH('Input-EWEMs'!D24,MeasureList!A$1:'MeasureList'!N$1,0))):INDIRECT("MeasureList!"&amp;ADDRESS(24,MATCH('Input-EWEMs'!D24,MeasureList!A$1:'MeasureList'!N$1,0))),0)),"","Selected EWEM Type does not match EWEM Category. "),"Nonstandard EWEM type was entered - select best match from provided dropdown list. "))&amp;
IF('Input-EWEMs'!D24="","",IF('Input-EWEMs'!D24="Water and sewer conservation",IF('Input-EWEMs'!U24=0,"No water savings for EWEM Category: Water and Sewer Conservation. ",""),IF('Input-EWEMs'!U24&gt;0,"Water savings were entered for energy-saving measure - confirm water savings are expected. ","")))&amp;
IFERROR(IF('Input-EWEMs'!D24="","",IF('Input-EWEMs'!D24="Water and sewer conservation",IF(INDEX('Input-EWEMs'!$U$52:$U$61, MATCH($C35, 'Input-EWEMs'!$C$52:$C$61, 0))=0,"No water savings for EWEM Category: Water and Sewer Conservation (Adjusted EWEM). ",""),IF(INDEX('Input-EWEMs'!$U$52:$U$61, MATCH($C35, 'Input-EWEMs'!$C$52:$C$61, 0))&gt;0,"Water savings were entered for energy-saving measure - confirm water savings are expected (Adjusted EWEM). ",""))),"")</f>
        <v/>
      </c>
      <c r="G35" s="306"/>
    </row>
    <row r="36" spans="3:7" s="210" customFormat="1" ht="36" customHeight="1">
      <c r="C36" s="318">
        <v>14</v>
      </c>
      <c r="D36" s="833" t="str">
        <f>IF('Input-EWEMs'!F25="", "", 'Input-EWEMs'!F25)</f>
        <v/>
      </c>
      <c r="E36" s="834"/>
      <c r="F36" s="317" t="str">
        <f ca="1">IFERROR(INDEX(EWEMQC!L$2:L$14,MATCH('Check Errors'!C36,EWEMQC!A$2:A$14,0)),"")&amp;
IF('Input-EWEMs'!D25&lt;&gt;"",IF(SUM('Input-EWEMs'!N25,'Input-EWEMs'!Q25)=0,"EWEM has no cost savings. ","")&amp;
IF(SUM('Input-EWEMs'!AF25,'Input-EWEMs'!AG25)=0,"EWEM has no energy or water savings. ",""),"")&amp;
IFERROR(IF(SUM(INDEX('Input-EWEMs'!$N$52:$N$61, MATCH($C36, 'Input-EWEMs'!$C$52:$C$61, 0)),INDEX('Input-EWEMs'!$Q$52:$Q$61, MATCH($C36, 'Input-EWEMs'!$C$52:$C$61, 0)))=0,"Adjusted EWEM has no cost savings. ",""),"")&amp;
IFERROR(IF(SUM(INDEX('Input-EWEMs'!$AF$52:$AF$61, MATCH($C36, 'Input-EWEMs'!$C$52:$C$61, 0)),INDEX('Input-EWEMs'!$AG$52:$AG$61, MATCH($C36, 'Input-EWEMs'!$C$52:$C$61, 0)))=0,"Adjusted EWEM has no energy or water savings. ",""),"")&amp;
IFERROR(IF(INDEX('DB-EWEMAdjusted'!K:K,MATCH('Check Errors'!C36,'DB-EWEMAdjusted'!C:C,0))&gt;INDEX('DB-EWEM'!K:K,MATCH('Check Errors'!C36,'DB-EWEM'!C:C,0)),"Cost of adjusted recommendation is greater than cost of originally recommended measure - confirm adjusted cost is correct. ",""),"")&amp;
IF('Input-EWEMs'!E25="","",IF(COUNTIF(MeasureList!$A$3:$N$24,'Input-EWEMs'!E25)&gt;0,IF(ISNUMBER(MATCH('Input-EWEMs'!E25,INDIRECT("MeasureList!"&amp;ADDRESS(1,MATCH('Input-EWEMs'!D25,MeasureList!A$1:'MeasureList'!N$1,0))):INDIRECT("MeasureList!"&amp;ADDRESS(24,MATCH('Input-EWEMs'!D25,MeasureList!A$1:'MeasureList'!N$1,0))),0)),"","Selected EWEM Type does not match EWEM Category. "),"Nonstandard EWEM type was entered - select best match from provided dropdown list. "))&amp;
IF('Input-EWEMs'!D25="","",IF('Input-EWEMs'!D25="Water and sewer conservation",IF('Input-EWEMs'!U25=0,"No water savings for EWEM Category: Water and Sewer Conservation. ",""),IF('Input-EWEMs'!U25&gt;0,"Water savings were entered for energy-saving measure - confirm water savings are expected. ","")))&amp;
IFERROR(IF('Input-EWEMs'!D25="","",IF('Input-EWEMs'!D25="Water and sewer conservation",IF(INDEX('Input-EWEMs'!$U$52:$U$61, MATCH($C36, 'Input-EWEMs'!$C$52:$C$61, 0))=0,"No water savings for EWEM Category: Water and Sewer Conservation (Adjusted EWEM). ",""),IF(INDEX('Input-EWEMs'!$U$52:$U$61, MATCH($C36, 'Input-EWEMs'!$C$52:$C$61, 0))&gt;0,"Water savings were entered for energy-saving measure - confirm water savings are expected (Adjusted EWEM). ",""))),"")</f>
        <v/>
      </c>
      <c r="G36" s="306"/>
    </row>
    <row r="37" spans="3:7" s="279" customFormat="1" ht="36" customHeight="1">
      <c r="C37" s="318">
        <v>15</v>
      </c>
      <c r="D37" s="833" t="str">
        <f>IF('Input-EWEMs'!F26="", "", 'Input-EWEMs'!F26)</f>
        <v/>
      </c>
      <c r="E37" s="834"/>
      <c r="F37" s="317" t="str">
        <f ca="1">IFERROR(INDEX(EWEMQC!L$2:L$14,MATCH('Check Errors'!C37,EWEMQC!A$2:A$14,0)),"")&amp;
IF('Input-EWEMs'!D26&lt;&gt;"",IF(SUM('Input-EWEMs'!N26,'Input-EWEMs'!Q26)=0,"EWEM has no cost savings. ","")&amp;
IF(SUM('Input-EWEMs'!AF26,'Input-EWEMs'!AG26)=0,"EWEM has no energy or water savings. ",""),"")&amp;
IFERROR(IF(SUM(INDEX('Input-EWEMs'!$N$52:$N$61, MATCH($C37, 'Input-EWEMs'!$C$52:$C$61, 0)),INDEX('Input-EWEMs'!$Q$52:$Q$61, MATCH($C37, 'Input-EWEMs'!$C$52:$C$61, 0)))=0,"Adjusted EWEM has no cost savings. ",""),"")&amp;
IFERROR(IF(SUM(INDEX('Input-EWEMs'!$AF$52:$AF$61, MATCH($C37, 'Input-EWEMs'!$C$52:$C$61, 0)),INDEX('Input-EWEMs'!$AG$52:$AG$61, MATCH($C37, 'Input-EWEMs'!$C$52:$C$61, 0)))=0,"Adjusted EWEM has no energy or water savings. ",""),"")&amp;
IFERROR(IF(INDEX('DB-EWEMAdjusted'!K:K,MATCH('Check Errors'!C37,'DB-EWEMAdjusted'!C:C,0))&gt;INDEX('DB-EWEM'!K:K,MATCH('Check Errors'!C37,'DB-EWEM'!C:C,0)),"Cost of adjusted recommendation is greater than cost of originally recommended measure - confirm adjusted cost is correct. ",""),"")&amp;
IF('Input-EWEMs'!E26="","",IF(COUNTIF(MeasureList!$A$3:$N$24,'Input-EWEMs'!E26)&gt;0,IF(ISNUMBER(MATCH('Input-EWEMs'!E26,INDIRECT("MeasureList!"&amp;ADDRESS(1,MATCH('Input-EWEMs'!D26,MeasureList!A$1:'MeasureList'!N$1,0))):INDIRECT("MeasureList!"&amp;ADDRESS(24,MATCH('Input-EWEMs'!D26,MeasureList!A$1:'MeasureList'!N$1,0))),0)),"","Selected EWEM Type does not match EWEM Category. "),"Nonstandard EWEM type was entered - select best match from provided dropdown list. "))&amp;
IF('Input-EWEMs'!D26="","",IF('Input-EWEMs'!D26="Water and sewer conservation",IF('Input-EWEMs'!U26=0,"No water savings for EWEM Category: Water and Sewer Conservation. ",""),IF('Input-EWEMs'!U26&gt;0,"Water savings were entered for energy-saving measure - confirm water savings are expected. ","")))&amp;
IFERROR(IF('Input-EWEMs'!D26="","",IF('Input-EWEMs'!D26="Water and sewer conservation",IF(INDEX('Input-EWEMs'!$U$52:$U$61, MATCH($C37, 'Input-EWEMs'!$C$52:$C$61, 0))=0,"No water savings for EWEM Category: Water and Sewer Conservation (Adjusted EWEM). ",""),IF(INDEX('Input-EWEMs'!$U$52:$U$61, MATCH($C37, 'Input-EWEMs'!$C$52:$C$61, 0))&gt;0,"Water savings were entered for energy-saving measure - confirm water savings are expected (Adjusted EWEM). ",""))),"")</f>
        <v/>
      </c>
      <c r="G37" s="319"/>
    </row>
    <row r="38" spans="3:7" s="210" customFormat="1" ht="36" customHeight="1">
      <c r="C38" s="318">
        <v>16</v>
      </c>
      <c r="D38" s="833" t="str">
        <f>IF('Input-EWEMs'!F27="", "", 'Input-EWEMs'!F27)</f>
        <v/>
      </c>
      <c r="E38" s="834"/>
      <c r="F38" s="317" t="str">
        <f ca="1">IFERROR(INDEX(EWEMQC!L$2:L$14,MATCH('Check Errors'!C38,EWEMQC!A$2:A$14,0)),"")&amp;
IF('Input-EWEMs'!D27&lt;&gt;"",IF(SUM('Input-EWEMs'!N27,'Input-EWEMs'!Q27)=0,"EWEM has no cost savings. ","")&amp;
IF(SUM('Input-EWEMs'!AF27,'Input-EWEMs'!AG27)=0,"EWEM has no energy or water savings. ",""),"")&amp;
IFERROR(IF(SUM(INDEX('Input-EWEMs'!$N$52:$N$61, MATCH($C38, 'Input-EWEMs'!$C$52:$C$61, 0)),INDEX('Input-EWEMs'!$Q$52:$Q$61, MATCH($C38, 'Input-EWEMs'!$C$52:$C$61, 0)))=0,"Adjusted EWEM has no cost savings. ",""),"")&amp;
IFERROR(IF(SUM(INDEX('Input-EWEMs'!$AF$52:$AF$61, MATCH($C38, 'Input-EWEMs'!$C$52:$C$61, 0)),INDEX('Input-EWEMs'!$AG$52:$AG$61, MATCH($C38, 'Input-EWEMs'!$C$52:$C$61, 0)))=0,"Adjusted EWEM has no energy or water savings. ",""),"")&amp;
IFERROR(IF(INDEX('DB-EWEMAdjusted'!K:K,MATCH('Check Errors'!C38,'DB-EWEMAdjusted'!C:C,0))&gt;INDEX('DB-EWEM'!K:K,MATCH('Check Errors'!C38,'DB-EWEM'!C:C,0)),"Cost of adjusted recommendation is greater than cost of originally recommended measure - confirm adjusted cost is correct. ",""),"")&amp;
IF('Input-EWEMs'!E27="","",IF(COUNTIF(MeasureList!$A$3:$N$24,'Input-EWEMs'!E27)&gt;0,IF(ISNUMBER(MATCH('Input-EWEMs'!E27,INDIRECT("MeasureList!"&amp;ADDRESS(1,MATCH('Input-EWEMs'!D27,MeasureList!A$1:'MeasureList'!N$1,0))):INDIRECT("MeasureList!"&amp;ADDRESS(24,MATCH('Input-EWEMs'!D27,MeasureList!A$1:'MeasureList'!N$1,0))),0)),"","Selected EWEM Type does not match EWEM Category. "),"Nonstandard EWEM type was entered - select best match from provided dropdown list. "))&amp;
IF('Input-EWEMs'!D27="","",IF('Input-EWEMs'!D27="Water and sewer conservation",IF('Input-EWEMs'!U27=0,"No water savings for EWEM Category: Water and Sewer Conservation. ",""),IF('Input-EWEMs'!U27&gt;0,"Water savings were entered for energy-saving measure - confirm water savings are expected. ","")))&amp;
IFERROR(IF('Input-EWEMs'!D27="","",IF('Input-EWEMs'!D27="Water and sewer conservation",IF(INDEX('Input-EWEMs'!$U$52:$U$61, MATCH($C38, 'Input-EWEMs'!$C$52:$C$61, 0))=0,"No water savings for EWEM Category: Water and Sewer Conservation (Adjusted EWEM). ",""),IF(INDEX('Input-EWEMs'!$U$52:$U$61, MATCH($C38, 'Input-EWEMs'!$C$52:$C$61, 0))&gt;0,"Water savings were entered for energy-saving measure - confirm water savings are expected (Adjusted EWEM). ",""))),"")</f>
        <v/>
      </c>
      <c r="G38" s="306"/>
    </row>
    <row r="39" spans="3:7" s="210" customFormat="1" ht="36" customHeight="1">
      <c r="C39" s="318">
        <v>17</v>
      </c>
      <c r="D39" s="833" t="str">
        <f>IF('Input-EWEMs'!F28="", "", 'Input-EWEMs'!F28)</f>
        <v/>
      </c>
      <c r="E39" s="834"/>
      <c r="F39" s="317" t="str">
        <f ca="1">IFERROR(INDEX(EWEMQC!L$2:L$14,MATCH('Check Errors'!C39,EWEMQC!A$2:A$14,0)),"")&amp;
IF('Input-EWEMs'!D28&lt;&gt;"",IF(SUM('Input-EWEMs'!N28,'Input-EWEMs'!Q28)=0,"EWEM has no cost savings. ","")&amp;
IF(SUM('Input-EWEMs'!AF28,'Input-EWEMs'!AG28)=0,"EWEM has no energy or water savings. ",""),"")&amp;
IFERROR(IF(SUM(INDEX('Input-EWEMs'!$N$52:$N$61, MATCH($C39, 'Input-EWEMs'!$C$52:$C$61, 0)),INDEX('Input-EWEMs'!$Q$52:$Q$61, MATCH($C39, 'Input-EWEMs'!$C$52:$C$61, 0)))=0,"Adjusted EWEM has no cost savings. ",""),"")&amp;
IFERROR(IF(SUM(INDEX('Input-EWEMs'!$AF$52:$AF$61, MATCH($C39, 'Input-EWEMs'!$C$52:$C$61, 0)),INDEX('Input-EWEMs'!$AG$52:$AG$61, MATCH($C39, 'Input-EWEMs'!$C$52:$C$61, 0)))=0,"Adjusted EWEM has no energy or water savings. ",""),"")&amp;
IFERROR(IF(INDEX('DB-EWEMAdjusted'!K:K,MATCH('Check Errors'!C39,'DB-EWEMAdjusted'!C:C,0))&gt;INDEX('DB-EWEM'!K:K,MATCH('Check Errors'!C39,'DB-EWEM'!C:C,0)),"Cost of adjusted recommendation is greater than cost of originally recommended measure - confirm adjusted cost is correct. ",""),"")&amp;
IF('Input-EWEMs'!E28="","",IF(COUNTIF(MeasureList!$A$3:$N$24,'Input-EWEMs'!E28)&gt;0,IF(ISNUMBER(MATCH('Input-EWEMs'!E28,INDIRECT("MeasureList!"&amp;ADDRESS(1,MATCH('Input-EWEMs'!D28,MeasureList!A$1:'MeasureList'!N$1,0))):INDIRECT("MeasureList!"&amp;ADDRESS(24,MATCH('Input-EWEMs'!D28,MeasureList!A$1:'MeasureList'!N$1,0))),0)),"","Selected EWEM Type does not match EWEM Category. "),"Nonstandard EWEM type was entered - select best match from provided dropdown list. "))&amp;
IF('Input-EWEMs'!D28="","",IF('Input-EWEMs'!D28="Water and sewer conservation",IF('Input-EWEMs'!U28=0,"No water savings for EWEM Category: Water and Sewer Conservation. ",""),IF('Input-EWEMs'!U28&gt;0,"Water savings were entered for energy-saving measure - confirm water savings are expected. ","")))&amp;
IFERROR(IF('Input-EWEMs'!D28="","",IF('Input-EWEMs'!D28="Water and sewer conservation",IF(INDEX('Input-EWEMs'!$U$52:$U$61, MATCH($C39, 'Input-EWEMs'!$C$52:$C$61, 0))=0,"No water savings for EWEM Category: Water and Sewer Conservation (Adjusted EWEM). ",""),IF(INDEX('Input-EWEMs'!$U$52:$U$61, MATCH($C39, 'Input-EWEMs'!$C$52:$C$61, 0))&gt;0,"Water savings were entered for energy-saving measure - confirm water savings are expected (Adjusted EWEM). ",""))),"")</f>
        <v/>
      </c>
      <c r="G39" s="306"/>
    </row>
    <row r="40" spans="3:7" s="210" customFormat="1" ht="36" customHeight="1">
      <c r="C40" s="318">
        <v>18</v>
      </c>
      <c r="D40" s="833" t="str">
        <f>IF('Input-EWEMs'!F29="", "", 'Input-EWEMs'!F29)</f>
        <v/>
      </c>
      <c r="E40" s="834"/>
      <c r="F40" s="317" t="str">
        <f ca="1">IFERROR(INDEX(EWEMQC!L$2:L$14,MATCH('Check Errors'!C40,EWEMQC!A$2:A$14,0)),"")&amp;
IF('Input-EWEMs'!D29&lt;&gt;"",IF(SUM('Input-EWEMs'!N29,'Input-EWEMs'!Q29)=0,"EWEM has no cost savings. ","")&amp;
IF(SUM('Input-EWEMs'!AF29,'Input-EWEMs'!AG29)=0,"EWEM has no energy or water savings. ",""),"")&amp;
IFERROR(IF(SUM(INDEX('Input-EWEMs'!$N$52:$N$61, MATCH($C40, 'Input-EWEMs'!$C$52:$C$61, 0)),INDEX('Input-EWEMs'!$Q$52:$Q$61, MATCH($C40, 'Input-EWEMs'!$C$52:$C$61, 0)))=0,"Adjusted EWEM has no cost savings. ",""),"")&amp;
IFERROR(IF(SUM(INDEX('Input-EWEMs'!$AF$52:$AF$61, MATCH($C40, 'Input-EWEMs'!$C$52:$C$61, 0)),INDEX('Input-EWEMs'!$AG$52:$AG$61, MATCH($C40, 'Input-EWEMs'!$C$52:$C$61, 0)))=0,"Adjusted EWEM has no energy or water savings. ",""),"")&amp;
IFERROR(IF(INDEX('DB-EWEMAdjusted'!K:K,MATCH('Check Errors'!C40,'DB-EWEMAdjusted'!C:C,0))&gt;INDEX('DB-EWEM'!K:K,MATCH('Check Errors'!C40,'DB-EWEM'!C:C,0)),"Cost of adjusted recommendation is greater than cost of originally recommended measure - confirm adjusted cost is correct. ",""),"")&amp;
IF('Input-EWEMs'!E29="","",IF(COUNTIF(MeasureList!$A$3:$N$24,'Input-EWEMs'!E29)&gt;0,IF(ISNUMBER(MATCH('Input-EWEMs'!E29,INDIRECT("MeasureList!"&amp;ADDRESS(1,MATCH('Input-EWEMs'!D29,MeasureList!A$1:'MeasureList'!N$1,0))):INDIRECT("MeasureList!"&amp;ADDRESS(24,MATCH('Input-EWEMs'!D29,MeasureList!A$1:'MeasureList'!N$1,0))),0)),"","Selected EWEM Type does not match EWEM Category. "),"Nonstandard EWEM type was entered - select best match from provided dropdown list. "))&amp;
IF('Input-EWEMs'!D29="","",IF('Input-EWEMs'!D29="Water and sewer conservation",IF('Input-EWEMs'!U29=0,"No water savings for EWEM Category: Water and Sewer Conservation. ",""),IF('Input-EWEMs'!U29&gt;0,"Water savings were entered for energy-saving measure - confirm water savings are expected. ","")))&amp;
IFERROR(IF('Input-EWEMs'!D29="","",IF('Input-EWEMs'!D29="Water and sewer conservation",IF(INDEX('Input-EWEMs'!$U$52:$U$61, MATCH($C40, 'Input-EWEMs'!$C$52:$C$61, 0))=0,"No water savings for EWEM Category: Water and Sewer Conservation (Adjusted EWEM). ",""),IF(INDEX('Input-EWEMs'!$U$52:$U$61, MATCH($C40, 'Input-EWEMs'!$C$52:$C$61, 0))&gt;0,"Water savings were entered for energy-saving measure - confirm water savings are expected (Adjusted EWEM). ",""))),"")</f>
        <v/>
      </c>
      <c r="G40" s="306"/>
    </row>
    <row r="41" spans="3:7" s="210" customFormat="1" ht="36" customHeight="1">
      <c r="C41" s="318">
        <v>19</v>
      </c>
      <c r="D41" s="833" t="str">
        <f>IF('Input-EWEMs'!F30="", "", 'Input-EWEMs'!F30)</f>
        <v/>
      </c>
      <c r="E41" s="834"/>
      <c r="F41" s="317" t="str">
        <f ca="1">IFERROR(INDEX(EWEMQC!L$2:L$14,MATCH('Check Errors'!C41,EWEMQC!A$2:A$14,0)),"")&amp;
IF('Input-EWEMs'!D30&lt;&gt;"",IF(SUM('Input-EWEMs'!N30,'Input-EWEMs'!Q30)=0,"EWEM has no cost savings. ","")&amp;
IF(SUM('Input-EWEMs'!AF30,'Input-EWEMs'!AG30)=0,"EWEM has no energy or water savings. ",""),"")&amp;
IFERROR(IF(SUM(INDEX('Input-EWEMs'!$N$52:$N$61, MATCH($C41, 'Input-EWEMs'!$C$52:$C$61, 0)),INDEX('Input-EWEMs'!$Q$52:$Q$61, MATCH($C41, 'Input-EWEMs'!$C$52:$C$61, 0)))=0,"Adjusted EWEM has no cost savings. ",""),"")&amp;
IFERROR(IF(SUM(INDEX('Input-EWEMs'!$AF$52:$AF$61, MATCH($C41, 'Input-EWEMs'!$C$52:$C$61, 0)),INDEX('Input-EWEMs'!$AG$52:$AG$61, MATCH($C41, 'Input-EWEMs'!$C$52:$C$61, 0)))=0,"Adjusted EWEM has no energy or water savings. ",""),"")&amp;
IFERROR(IF(INDEX('DB-EWEMAdjusted'!K:K,MATCH('Check Errors'!C41,'DB-EWEMAdjusted'!C:C,0))&gt;INDEX('DB-EWEM'!K:K,MATCH('Check Errors'!C41,'DB-EWEM'!C:C,0)),"Cost of adjusted recommendation is greater than cost of originally recommended measure - confirm adjusted cost is correct. ",""),"")&amp;
IF('Input-EWEMs'!E30="","",IF(COUNTIF(MeasureList!$A$3:$N$24,'Input-EWEMs'!E30)&gt;0,IF(ISNUMBER(MATCH('Input-EWEMs'!E30,INDIRECT("MeasureList!"&amp;ADDRESS(1,MATCH('Input-EWEMs'!D30,MeasureList!A$1:'MeasureList'!N$1,0))):INDIRECT("MeasureList!"&amp;ADDRESS(24,MATCH('Input-EWEMs'!D30,MeasureList!A$1:'MeasureList'!N$1,0))),0)),"","Selected EWEM Type does not match EWEM Category. "),"Nonstandard EWEM type was entered - select best match from provided dropdown list. "))&amp;
IF('Input-EWEMs'!D30="","",IF('Input-EWEMs'!D30="Water and sewer conservation",IF('Input-EWEMs'!U30=0,"No water savings for EWEM Category: Water and Sewer Conservation. ",""),IF('Input-EWEMs'!U30&gt;0,"Water savings were entered for energy-saving measure - confirm water savings are expected. ","")))&amp;
IFERROR(IF('Input-EWEMs'!D30="","",IF('Input-EWEMs'!D30="Water and sewer conservation",IF(INDEX('Input-EWEMs'!$U$52:$U$61, MATCH($C41, 'Input-EWEMs'!$C$52:$C$61, 0))=0,"No water savings for EWEM Category: Water and Sewer Conservation (Adjusted EWEM). ",""),IF(INDEX('Input-EWEMs'!$U$52:$U$61, MATCH($C41, 'Input-EWEMs'!$C$52:$C$61, 0))&gt;0,"Water savings were entered for energy-saving measure - confirm water savings are expected (Adjusted EWEM). ",""))),"")</f>
        <v/>
      </c>
      <c r="G41" s="306"/>
    </row>
    <row r="42" spans="3:7" s="210" customFormat="1" ht="36" customHeight="1">
      <c r="C42" s="318">
        <v>20</v>
      </c>
      <c r="D42" s="833" t="str">
        <f>IF('Input-EWEMs'!F31="", "", 'Input-EWEMs'!F31)</f>
        <v/>
      </c>
      <c r="E42" s="834"/>
      <c r="F42" s="317" t="str">
        <f ca="1">IFERROR(INDEX(EWEMQC!L$2:L$14,MATCH('Check Errors'!C42,EWEMQC!A$2:A$14,0)),"")&amp;
IF('Input-EWEMs'!D31&lt;&gt;"",IF(SUM('Input-EWEMs'!N31,'Input-EWEMs'!Q31)=0,"EWEM has no cost savings. ","")&amp;
IF(SUM('Input-EWEMs'!AF31,'Input-EWEMs'!AG31)=0,"EWEM has no energy or water savings. ",""),"")&amp;
IFERROR(IF(SUM(INDEX('Input-EWEMs'!$N$52:$N$61, MATCH($C42, 'Input-EWEMs'!$C$52:$C$61, 0)),INDEX('Input-EWEMs'!$Q$52:$Q$61, MATCH($C42, 'Input-EWEMs'!$C$52:$C$61, 0)))=0,"Adjusted EWEM has no cost savings. ",""),"")&amp;
IFERROR(IF(SUM(INDEX('Input-EWEMs'!$AF$52:$AF$61, MATCH($C42, 'Input-EWEMs'!$C$52:$C$61, 0)),INDEX('Input-EWEMs'!$AG$52:$AG$61, MATCH($C42, 'Input-EWEMs'!$C$52:$C$61, 0)))=0,"Adjusted EWEM has no energy or water savings. ",""),"")&amp;
IFERROR(IF(INDEX('DB-EWEMAdjusted'!K:K,MATCH('Check Errors'!C42,'DB-EWEMAdjusted'!C:C,0))&gt;INDEX('DB-EWEM'!K:K,MATCH('Check Errors'!C42,'DB-EWEM'!C:C,0)),"Cost of adjusted recommendation is greater than cost of originally recommended measure - confirm adjusted cost is correct. ",""),"")&amp;
IF('Input-EWEMs'!E31="","",IF(COUNTIF(MeasureList!$A$3:$N$24,'Input-EWEMs'!E31)&gt;0,IF(ISNUMBER(MATCH('Input-EWEMs'!E31,INDIRECT("MeasureList!"&amp;ADDRESS(1,MATCH('Input-EWEMs'!D31,MeasureList!A$1:'MeasureList'!N$1,0))):INDIRECT("MeasureList!"&amp;ADDRESS(24,MATCH('Input-EWEMs'!D31,MeasureList!A$1:'MeasureList'!N$1,0))),0)),"","Selected EWEM Type does not match EWEM Category. "),"Nonstandard EWEM type was entered - select best match from provided dropdown list. "))&amp;
IF('Input-EWEMs'!D31="","",IF('Input-EWEMs'!D31="Water and sewer conservation",IF('Input-EWEMs'!U31=0,"No water savings for EWEM Category: Water and Sewer Conservation. ",""),IF('Input-EWEMs'!U31&gt;0,"Water savings were entered for energy-saving measure - confirm water savings are expected. ","")))&amp;
IFERROR(IF('Input-EWEMs'!D31="","",IF('Input-EWEMs'!D31="Water and sewer conservation",IF(INDEX('Input-EWEMs'!$U$52:$U$61, MATCH($C42, 'Input-EWEMs'!$C$52:$C$61, 0))=0,"No water savings for EWEM Category: Water and Sewer Conservation (Adjusted EWEM). ",""),IF(INDEX('Input-EWEMs'!$U$52:$U$61, MATCH($C42, 'Input-EWEMs'!$C$52:$C$61, 0))&gt;0,"Water savings were entered for energy-saving measure - confirm water savings are expected (Adjusted EWEM). ",""))),"")</f>
        <v/>
      </c>
      <c r="G42" s="306"/>
    </row>
    <row r="43" spans="3:7" s="210" customFormat="1" ht="36" customHeight="1">
      <c r="C43" s="318">
        <v>21</v>
      </c>
      <c r="D43" s="833" t="str">
        <f>IF('Input-EWEMs'!F32="", "", 'Input-EWEMs'!F32)</f>
        <v/>
      </c>
      <c r="E43" s="834"/>
      <c r="F43" s="317" t="str">
        <f ca="1">IFERROR(INDEX(EWEMQC!L$2:L$14,MATCH('Check Errors'!C43,EWEMQC!A$2:A$14,0)),"")&amp;
IF('Input-EWEMs'!D32&lt;&gt;"",IF(SUM('Input-EWEMs'!N32,'Input-EWEMs'!Q32)=0,"EWEM has no cost savings. ","")&amp;
IF(SUM('Input-EWEMs'!AF32,'Input-EWEMs'!AG32)=0,"EWEM has no energy or water savings. ",""),"")&amp;
IFERROR(IF(SUM(INDEX('Input-EWEMs'!$N$52:$N$61, MATCH($C43, 'Input-EWEMs'!$C$52:$C$61, 0)),INDEX('Input-EWEMs'!$Q$52:$Q$61, MATCH($C43, 'Input-EWEMs'!$C$52:$C$61, 0)))=0,"Adjusted EWEM has no cost savings. ",""),"")&amp;
IFERROR(IF(SUM(INDEX('Input-EWEMs'!$AF$52:$AF$61, MATCH($C43, 'Input-EWEMs'!$C$52:$C$61, 0)),INDEX('Input-EWEMs'!$AG$52:$AG$61, MATCH($C43, 'Input-EWEMs'!$C$52:$C$61, 0)))=0,"Adjusted EWEM has no energy or water savings. ",""),"")&amp;
IFERROR(IF(INDEX('DB-EWEMAdjusted'!K:K,MATCH('Check Errors'!C43,'DB-EWEMAdjusted'!C:C,0))&gt;INDEX('DB-EWEM'!K:K,MATCH('Check Errors'!C43,'DB-EWEM'!C:C,0)),"Cost of adjusted recommendation is greater than cost of originally recommended measure - confirm adjusted cost is correct. ",""),"")&amp;
IF('Input-EWEMs'!E32="","",IF(COUNTIF(MeasureList!$A$3:$N$24,'Input-EWEMs'!E32)&gt;0,IF(ISNUMBER(MATCH('Input-EWEMs'!E32,INDIRECT("MeasureList!"&amp;ADDRESS(1,MATCH('Input-EWEMs'!D32,MeasureList!A$1:'MeasureList'!N$1,0))):INDIRECT("MeasureList!"&amp;ADDRESS(24,MATCH('Input-EWEMs'!D32,MeasureList!A$1:'MeasureList'!N$1,0))),0)),"","Selected EWEM Type does not match EWEM Category. "),"Nonstandard EWEM type was entered - select best match from provided dropdown list. "))&amp;
IF('Input-EWEMs'!D32="","",IF('Input-EWEMs'!D32="Water and sewer conservation",IF('Input-EWEMs'!U32=0,"No water savings for EWEM Category: Water and Sewer Conservation. ",""),IF('Input-EWEMs'!U32&gt;0,"Water savings were entered for energy-saving measure - confirm water savings are expected. ","")))&amp;
IFERROR(IF('Input-EWEMs'!D32="","",IF('Input-EWEMs'!D32="Water and sewer conservation",IF(INDEX('Input-EWEMs'!$U$52:$U$61, MATCH($C43, 'Input-EWEMs'!$C$52:$C$61, 0))=0,"No water savings for EWEM Category: Water and Sewer Conservation (Adjusted EWEM). ",""),IF(INDEX('Input-EWEMs'!$U$52:$U$61, MATCH($C43, 'Input-EWEMs'!$C$52:$C$61, 0))&gt;0,"Water savings were entered for energy-saving measure - confirm water savings are expected (Adjusted EWEM). ",""))),"")</f>
        <v/>
      </c>
      <c r="G43" s="306"/>
    </row>
    <row r="44" spans="3:7" s="210" customFormat="1" ht="36" customHeight="1">
      <c r="C44" s="318">
        <v>22</v>
      </c>
      <c r="D44" s="833" t="str">
        <f>IF('Input-EWEMs'!F33="", "", 'Input-EWEMs'!F33)</f>
        <v/>
      </c>
      <c r="E44" s="834"/>
      <c r="F44" s="317" t="str">
        <f ca="1">IFERROR(INDEX(EWEMQC!L$2:L$14,MATCH('Check Errors'!C44,EWEMQC!A$2:A$14,0)),"")&amp;
IF('Input-EWEMs'!D33&lt;&gt;"",IF(SUM('Input-EWEMs'!N33,'Input-EWEMs'!Q33)=0,"EWEM has no cost savings. ","")&amp;
IF(SUM('Input-EWEMs'!AF33,'Input-EWEMs'!AG33)=0,"EWEM has no energy or water savings. ",""),"")&amp;
IFERROR(IF(SUM(INDEX('Input-EWEMs'!$N$52:$N$61, MATCH($C44, 'Input-EWEMs'!$C$52:$C$61, 0)),INDEX('Input-EWEMs'!$Q$52:$Q$61, MATCH($C44, 'Input-EWEMs'!$C$52:$C$61, 0)))=0,"Adjusted EWEM has no cost savings. ",""),"")&amp;
IFERROR(IF(SUM(INDEX('Input-EWEMs'!$AF$52:$AF$61, MATCH($C44, 'Input-EWEMs'!$C$52:$C$61, 0)),INDEX('Input-EWEMs'!$AG$52:$AG$61, MATCH($C44, 'Input-EWEMs'!$C$52:$C$61, 0)))=0,"Adjusted EWEM has no energy or water savings. ",""),"")&amp;
IFERROR(IF(INDEX('DB-EWEMAdjusted'!K:K,MATCH('Check Errors'!C44,'DB-EWEMAdjusted'!C:C,0))&gt;INDEX('DB-EWEM'!K:K,MATCH('Check Errors'!C44,'DB-EWEM'!C:C,0)),"Cost of adjusted recommendation is greater than cost of originally recommended measure - confirm adjusted cost is correct. ",""),"")&amp;
IF('Input-EWEMs'!E33="","",IF(COUNTIF(MeasureList!$A$3:$N$24,'Input-EWEMs'!E33)&gt;0,IF(ISNUMBER(MATCH('Input-EWEMs'!E33,INDIRECT("MeasureList!"&amp;ADDRESS(1,MATCH('Input-EWEMs'!D33,MeasureList!A$1:'MeasureList'!N$1,0))):INDIRECT("MeasureList!"&amp;ADDRESS(24,MATCH('Input-EWEMs'!D33,MeasureList!A$1:'MeasureList'!N$1,0))),0)),"","Selected EWEM Type does not match EWEM Category. "),"Nonstandard EWEM type was entered - select best match from provided dropdown list. "))&amp;
IF('Input-EWEMs'!D33="","",IF('Input-EWEMs'!D33="Water and sewer conservation",IF('Input-EWEMs'!U33=0,"No water savings for EWEM Category: Water and Sewer Conservation. ",""),IF('Input-EWEMs'!U33&gt;0,"Water savings were entered for energy-saving measure - confirm water savings are expected. ","")))&amp;
IFERROR(IF('Input-EWEMs'!D33="","",IF('Input-EWEMs'!D33="Water and sewer conservation",IF(INDEX('Input-EWEMs'!$U$52:$U$61, MATCH($C44, 'Input-EWEMs'!$C$52:$C$61, 0))=0,"No water savings for EWEM Category: Water and Sewer Conservation (Adjusted EWEM). ",""),IF(INDEX('Input-EWEMs'!$U$52:$U$61, MATCH($C44, 'Input-EWEMs'!$C$52:$C$61, 0))&gt;0,"Water savings were entered for energy-saving measure - confirm water savings are expected (Adjusted EWEM). ",""))),"")</f>
        <v/>
      </c>
      <c r="G44" s="306"/>
    </row>
    <row r="45" spans="3:7" s="210" customFormat="1" ht="36" customHeight="1">
      <c r="C45" s="318">
        <v>23</v>
      </c>
      <c r="D45" s="833" t="str">
        <f>IF('Input-EWEMs'!F34="", "", 'Input-EWEMs'!F34)</f>
        <v/>
      </c>
      <c r="E45" s="834"/>
      <c r="F45" s="317" t="str">
        <f ca="1">IFERROR(INDEX(EWEMQC!L$2:L$14,MATCH('Check Errors'!C45,EWEMQC!A$2:A$14,0)),"")&amp;
IF('Input-EWEMs'!D34&lt;&gt;"",IF(SUM('Input-EWEMs'!N34,'Input-EWEMs'!Q34)=0,"EWEM has no cost savings. ","")&amp;
IF(SUM('Input-EWEMs'!AF34,'Input-EWEMs'!AG34)=0,"EWEM has no energy or water savings. ",""),"")&amp;
IFERROR(IF(SUM(INDEX('Input-EWEMs'!$N$52:$N$61, MATCH($C45, 'Input-EWEMs'!$C$52:$C$61, 0)),INDEX('Input-EWEMs'!$Q$52:$Q$61, MATCH($C45, 'Input-EWEMs'!$C$52:$C$61, 0)))=0,"Adjusted EWEM has no cost savings. ",""),"")&amp;
IFERROR(IF(SUM(INDEX('Input-EWEMs'!$AF$52:$AF$61, MATCH($C45, 'Input-EWEMs'!$C$52:$C$61, 0)),INDEX('Input-EWEMs'!$AG$52:$AG$61, MATCH($C45, 'Input-EWEMs'!$C$52:$C$61, 0)))=0,"Adjusted EWEM has no energy or water savings. ",""),"")&amp;
IFERROR(IF(INDEX('DB-EWEMAdjusted'!K:K,MATCH('Check Errors'!C45,'DB-EWEMAdjusted'!C:C,0))&gt;INDEX('DB-EWEM'!K:K,MATCH('Check Errors'!C45,'DB-EWEM'!C:C,0)),"Cost of adjusted recommendation is greater than cost of originally recommended measure - confirm adjusted cost is correct. ",""),"")&amp;
IF('Input-EWEMs'!E34="","",IF(COUNTIF(MeasureList!$A$3:$N$24,'Input-EWEMs'!E34)&gt;0,IF(ISNUMBER(MATCH('Input-EWEMs'!E34,INDIRECT("MeasureList!"&amp;ADDRESS(1,MATCH('Input-EWEMs'!D34,MeasureList!A$1:'MeasureList'!N$1,0))):INDIRECT("MeasureList!"&amp;ADDRESS(24,MATCH('Input-EWEMs'!D34,MeasureList!A$1:'MeasureList'!N$1,0))),0)),"","Selected EWEM Type does not match EWEM Category. "),"Nonstandard EWEM type was entered - select best match from provided dropdown list. "))&amp;
IF('Input-EWEMs'!D34="","",IF('Input-EWEMs'!D34="Water and sewer conservation",IF('Input-EWEMs'!U34=0,"No water savings for EWEM Category: Water and Sewer Conservation. ",""),IF('Input-EWEMs'!U34&gt;0,"Water savings were entered for energy-saving measure - confirm water savings are expected. ","")))&amp;
IFERROR(IF('Input-EWEMs'!D34="","",IF('Input-EWEMs'!D34="Water and sewer conservation",IF(INDEX('Input-EWEMs'!$U$52:$U$61, MATCH($C45, 'Input-EWEMs'!$C$52:$C$61, 0))=0,"No water savings for EWEM Category: Water and Sewer Conservation (Adjusted EWEM). ",""),IF(INDEX('Input-EWEMs'!$U$52:$U$61, MATCH($C45, 'Input-EWEMs'!$C$52:$C$61, 0))&gt;0,"Water savings were entered for energy-saving measure - confirm water savings are expected (Adjusted EWEM). ",""))),"")</f>
        <v/>
      </c>
      <c r="G45" s="306"/>
    </row>
    <row r="46" spans="3:7" s="210" customFormat="1" ht="36" customHeight="1">
      <c r="C46" s="318">
        <v>24</v>
      </c>
      <c r="D46" s="833" t="str">
        <f>IF('Input-EWEMs'!F35="", "", 'Input-EWEMs'!F35)</f>
        <v/>
      </c>
      <c r="E46" s="834"/>
      <c r="F46" s="317" t="str">
        <f ca="1">IFERROR(INDEX(EWEMQC!L$2:L$14,MATCH('Check Errors'!C46,EWEMQC!A$2:A$14,0)),"")&amp;
IF('Input-EWEMs'!D35&lt;&gt;"",IF(SUM('Input-EWEMs'!N35,'Input-EWEMs'!Q35)=0,"EWEM has no cost savings. ","")&amp;
IF(SUM('Input-EWEMs'!AF35,'Input-EWEMs'!AG35)=0,"EWEM has no energy or water savings. ",""),"")&amp;
IFERROR(IF(SUM(INDEX('Input-EWEMs'!$N$52:$N$61, MATCH($C46, 'Input-EWEMs'!$C$52:$C$61, 0)),INDEX('Input-EWEMs'!$Q$52:$Q$61, MATCH($C46, 'Input-EWEMs'!$C$52:$C$61, 0)))=0,"Adjusted EWEM has no cost savings. ",""),"")&amp;
IFERROR(IF(SUM(INDEX('Input-EWEMs'!$AF$52:$AF$61, MATCH($C46, 'Input-EWEMs'!$C$52:$C$61, 0)),INDEX('Input-EWEMs'!$AG$52:$AG$61, MATCH($C46, 'Input-EWEMs'!$C$52:$C$61, 0)))=0,"Adjusted EWEM has no energy or water savings. ",""),"")&amp;
IFERROR(IF(INDEX('DB-EWEMAdjusted'!K:K,MATCH('Check Errors'!C46,'DB-EWEMAdjusted'!C:C,0))&gt;INDEX('DB-EWEM'!K:K,MATCH('Check Errors'!C46,'DB-EWEM'!C:C,0)),"Cost of adjusted recommendation is greater than cost of originally recommended measure - confirm adjusted cost is correct. ",""),"")&amp;
IF('Input-EWEMs'!E35="","",IF(COUNTIF(MeasureList!$A$3:$N$24,'Input-EWEMs'!E35)&gt;0,IF(ISNUMBER(MATCH('Input-EWEMs'!E35,INDIRECT("MeasureList!"&amp;ADDRESS(1,MATCH('Input-EWEMs'!D35,MeasureList!A$1:'MeasureList'!N$1,0))):INDIRECT("MeasureList!"&amp;ADDRESS(24,MATCH('Input-EWEMs'!D35,MeasureList!A$1:'MeasureList'!N$1,0))),0)),"","Selected EWEM Type does not match EWEM Category. "),"Nonstandard EWEM type was entered - select best match from provided dropdown list. "))&amp;
IF('Input-EWEMs'!D35="","",IF('Input-EWEMs'!D35="Water and sewer conservation",IF('Input-EWEMs'!U35=0,"No water savings for EWEM Category: Water and Sewer Conservation. ",""),IF('Input-EWEMs'!U35&gt;0,"Water savings were entered for energy-saving measure - confirm water savings are expected. ","")))&amp;
IFERROR(IF('Input-EWEMs'!D35="","",IF('Input-EWEMs'!D35="Water and sewer conservation",IF(INDEX('Input-EWEMs'!$U$52:$U$61, MATCH($C46, 'Input-EWEMs'!$C$52:$C$61, 0))=0,"No water savings for EWEM Category: Water and Sewer Conservation (Adjusted EWEM). ",""),IF(INDEX('Input-EWEMs'!$U$52:$U$61, MATCH($C46, 'Input-EWEMs'!$C$52:$C$61, 0))&gt;0,"Water savings were entered for energy-saving measure - confirm water savings are expected (Adjusted EWEM). ",""))),"")</f>
        <v/>
      </c>
      <c r="G46" s="306"/>
    </row>
    <row r="47" spans="3:7" s="210" customFormat="1" ht="36" customHeight="1">
      <c r="C47" s="318">
        <v>25</v>
      </c>
      <c r="D47" s="833" t="str">
        <f>IF('Input-EWEMs'!F36="", "", 'Input-EWEMs'!F36)</f>
        <v/>
      </c>
      <c r="E47" s="834"/>
      <c r="F47" s="317" t="str">
        <f ca="1">IFERROR(INDEX(EWEMQC!L$2:L$14,MATCH('Check Errors'!C47,EWEMQC!A$2:A$14,0)),"")&amp;
IF('Input-EWEMs'!D36&lt;&gt;"",IF(SUM('Input-EWEMs'!N36,'Input-EWEMs'!Q36)=0,"EWEM has no cost savings. ","")&amp;
IF(SUM('Input-EWEMs'!AF36,'Input-EWEMs'!AG36)=0,"EWEM has no energy or water savings. ",""),"")&amp;
IFERROR(IF(SUM(INDEX('Input-EWEMs'!$N$52:$N$61, MATCH($C47, 'Input-EWEMs'!$C$52:$C$61, 0)),INDEX('Input-EWEMs'!$Q$52:$Q$61, MATCH($C47, 'Input-EWEMs'!$C$52:$C$61, 0)))=0,"Adjusted EWEM has no cost savings. ",""),"")&amp;
IFERROR(IF(SUM(INDEX('Input-EWEMs'!$AF$52:$AF$61, MATCH($C47, 'Input-EWEMs'!$C$52:$C$61, 0)),INDEX('Input-EWEMs'!$AG$52:$AG$61, MATCH($C47, 'Input-EWEMs'!$C$52:$C$61, 0)))=0,"Adjusted EWEM has no energy or water savings. ",""),"")&amp;
IFERROR(IF(INDEX('DB-EWEMAdjusted'!K:K,MATCH('Check Errors'!C47,'DB-EWEMAdjusted'!C:C,0))&gt;INDEX('DB-EWEM'!K:K,MATCH('Check Errors'!C47,'DB-EWEM'!C:C,0)),"Cost of adjusted recommendation is greater than cost of originally recommended measure - confirm adjusted cost is correct. ",""),"")&amp;
IF('Input-EWEMs'!E36="","",IF(COUNTIF(MeasureList!$A$3:$N$24,'Input-EWEMs'!E36)&gt;0,IF(ISNUMBER(MATCH('Input-EWEMs'!E36,INDIRECT("MeasureList!"&amp;ADDRESS(1,MATCH('Input-EWEMs'!D36,MeasureList!A$1:'MeasureList'!N$1,0))):INDIRECT("MeasureList!"&amp;ADDRESS(24,MATCH('Input-EWEMs'!D36,MeasureList!A$1:'MeasureList'!N$1,0))),0)),"","Selected EWEM Type does not match EWEM Category. "),"Nonstandard EWEM type was entered - select best match from provided dropdown list. "))&amp;
IF('Input-EWEMs'!D36="","",IF('Input-EWEMs'!D36="Water and sewer conservation",IF('Input-EWEMs'!U36=0,"No water savings for EWEM Category: Water and Sewer Conservation. ",""),IF('Input-EWEMs'!U36&gt;0,"Water savings were entered for energy-saving measure - confirm water savings are expected. ","")))&amp;
IFERROR(IF('Input-EWEMs'!D36="","",IF('Input-EWEMs'!D36="Water and sewer conservation",IF(INDEX('Input-EWEMs'!$U$52:$U$61, MATCH($C47, 'Input-EWEMs'!$C$52:$C$61, 0))=0,"No water savings for EWEM Category: Water and Sewer Conservation (Adjusted EWEM). ",""),IF(INDEX('Input-EWEMs'!$U$52:$U$61, MATCH($C47, 'Input-EWEMs'!$C$52:$C$61, 0))&gt;0,"Water savings were entered for energy-saving measure - confirm water savings are expected (Adjusted EWEM). ",""))),"")</f>
        <v/>
      </c>
      <c r="G47" s="306"/>
    </row>
    <row r="48" spans="3:7" s="210" customFormat="1" ht="36" customHeight="1">
      <c r="C48" s="318">
        <v>26</v>
      </c>
      <c r="D48" s="833" t="str">
        <f>IF('Input-EWEMs'!F37="", "", 'Input-EWEMs'!F37)</f>
        <v/>
      </c>
      <c r="E48" s="834"/>
      <c r="F48" s="317" t="str">
        <f ca="1">IFERROR(INDEX(EWEMQC!L$2:L$14,MATCH('Check Errors'!C48,EWEMQC!A$2:A$14,0)),"")&amp;
IF('Input-EWEMs'!D37&lt;&gt;"",IF(SUM('Input-EWEMs'!N37,'Input-EWEMs'!Q37)=0,"EWEM has no cost savings. ","")&amp;
IF(SUM('Input-EWEMs'!AF37,'Input-EWEMs'!AG37)=0,"EWEM has no energy or water savings. ",""),"")&amp;
IFERROR(IF(SUM(INDEX('Input-EWEMs'!$N$52:$N$61, MATCH($C48, 'Input-EWEMs'!$C$52:$C$61, 0)),INDEX('Input-EWEMs'!$Q$52:$Q$61, MATCH($C48, 'Input-EWEMs'!$C$52:$C$61, 0)))=0,"Adjusted EWEM has no cost savings. ",""),"")&amp;
IFERROR(IF(SUM(INDEX('Input-EWEMs'!$AF$52:$AF$61, MATCH($C48, 'Input-EWEMs'!$C$52:$C$61, 0)),INDEX('Input-EWEMs'!$AG$52:$AG$61, MATCH($C48, 'Input-EWEMs'!$C$52:$C$61, 0)))=0,"Adjusted EWEM has no energy or water savings. ",""),"")&amp;
IFERROR(IF(INDEX('DB-EWEMAdjusted'!K:K,MATCH('Check Errors'!C48,'DB-EWEMAdjusted'!C:C,0))&gt;INDEX('DB-EWEM'!K:K,MATCH('Check Errors'!C48,'DB-EWEM'!C:C,0)),"Cost of adjusted recommendation is greater than cost of originally recommended measure - confirm adjusted cost is correct. ",""),"")&amp;
IF('Input-EWEMs'!E37="","",IF(COUNTIF(MeasureList!$A$3:$N$24,'Input-EWEMs'!E37)&gt;0,IF(ISNUMBER(MATCH('Input-EWEMs'!E37,INDIRECT("MeasureList!"&amp;ADDRESS(1,MATCH('Input-EWEMs'!D37,MeasureList!A$1:'MeasureList'!N$1,0))):INDIRECT("MeasureList!"&amp;ADDRESS(24,MATCH('Input-EWEMs'!D37,MeasureList!A$1:'MeasureList'!N$1,0))),0)),"","Selected EWEM Type does not match EWEM Category. "),"Nonstandard EWEM type was entered - select best match from provided dropdown list. "))&amp;
IF('Input-EWEMs'!D37="","",IF('Input-EWEMs'!D37="Water and sewer conservation",IF('Input-EWEMs'!U37=0,"No water savings for EWEM Category: Water and Sewer Conservation. ",""),IF('Input-EWEMs'!U37&gt;0,"Water savings were entered for energy-saving measure - confirm water savings are expected. ","")))&amp;
IFERROR(IF('Input-EWEMs'!D37="","",IF('Input-EWEMs'!D37="Water and sewer conservation",IF(INDEX('Input-EWEMs'!$U$52:$U$61, MATCH($C48, 'Input-EWEMs'!$C$52:$C$61, 0))=0,"No water savings for EWEM Category: Water and Sewer Conservation (Adjusted EWEM). ",""),IF(INDEX('Input-EWEMs'!$U$52:$U$61, MATCH($C48, 'Input-EWEMs'!$C$52:$C$61, 0))&gt;0,"Water savings were entered for energy-saving measure - confirm water savings are expected (Adjusted EWEM). ",""))),"")</f>
        <v/>
      </c>
      <c r="G48" s="306"/>
    </row>
    <row r="49" spans="3:10" s="210" customFormat="1" ht="36" customHeight="1">
      <c r="C49" s="318">
        <v>27</v>
      </c>
      <c r="D49" s="833" t="str">
        <f>IF('Input-EWEMs'!F38="", "", 'Input-EWEMs'!F38)</f>
        <v/>
      </c>
      <c r="E49" s="834"/>
      <c r="F49" s="317" t="str">
        <f ca="1">IFERROR(INDEX(EWEMQC!L$2:L$14,MATCH('Check Errors'!C49,EWEMQC!A$2:A$14,0)),"")&amp;
IF('Input-EWEMs'!D38&lt;&gt;"",IF(SUM('Input-EWEMs'!N38,'Input-EWEMs'!Q38)=0,"EWEM has no cost savings. ","")&amp;
IF(SUM('Input-EWEMs'!AF38,'Input-EWEMs'!AG38)=0,"EWEM has no energy or water savings. ",""),"")&amp;
IFERROR(IF(SUM(INDEX('Input-EWEMs'!$N$52:$N$61, MATCH($C49, 'Input-EWEMs'!$C$52:$C$61, 0)),INDEX('Input-EWEMs'!$Q$52:$Q$61, MATCH($C49, 'Input-EWEMs'!$C$52:$C$61, 0)))=0,"Adjusted EWEM has no cost savings. ",""),"")&amp;
IFERROR(IF(SUM(INDEX('Input-EWEMs'!$AF$52:$AF$61, MATCH($C49, 'Input-EWEMs'!$C$52:$C$61, 0)),INDEX('Input-EWEMs'!$AG$52:$AG$61, MATCH($C49, 'Input-EWEMs'!$C$52:$C$61, 0)))=0,"Adjusted EWEM has no energy or water savings. ",""),"")&amp;
IFERROR(IF(INDEX('DB-EWEMAdjusted'!K:K,MATCH('Check Errors'!C49,'DB-EWEMAdjusted'!C:C,0))&gt;INDEX('DB-EWEM'!K:K,MATCH('Check Errors'!C49,'DB-EWEM'!C:C,0)),"Cost of adjusted recommendation is greater than cost of originally recommended measure - confirm adjusted cost is correct. ",""),"")&amp;
IF('Input-EWEMs'!E38="","",IF(COUNTIF(MeasureList!$A$3:$N$24,'Input-EWEMs'!E38)&gt;0,IF(ISNUMBER(MATCH('Input-EWEMs'!E38,INDIRECT("MeasureList!"&amp;ADDRESS(1,MATCH('Input-EWEMs'!D38,MeasureList!A$1:'MeasureList'!N$1,0))):INDIRECT("MeasureList!"&amp;ADDRESS(24,MATCH('Input-EWEMs'!D38,MeasureList!A$1:'MeasureList'!N$1,0))),0)),"","Selected EWEM Type does not match EWEM Category. "),"Nonstandard EWEM type was entered - select best match from provided dropdown list. "))&amp;
IF('Input-EWEMs'!D38="","",IF('Input-EWEMs'!D38="Water and sewer conservation",IF('Input-EWEMs'!U38=0,"No water savings for EWEM Category: Water and Sewer Conservation. ",""),IF('Input-EWEMs'!U38&gt;0,"Water savings were entered for energy-saving measure - confirm water savings are expected. ","")))&amp;
IFERROR(IF('Input-EWEMs'!D38="","",IF('Input-EWEMs'!D38="Water and sewer conservation",IF(INDEX('Input-EWEMs'!$U$52:$U$61, MATCH($C49, 'Input-EWEMs'!$C$52:$C$61, 0))=0,"No water savings for EWEM Category: Water and Sewer Conservation (Adjusted EWEM). ",""),IF(INDEX('Input-EWEMs'!$U$52:$U$61, MATCH($C49, 'Input-EWEMs'!$C$52:$C$61, 0))&gt;0,"Water savings were entered for energy-saving measure - confirm water savings are expected (Adjusted EWEM). ",""))),"")</f>
        <v/>
      </c>
      <c r="G49" s="306"/>
    </row>
    <row r="50" spans="3:10" s="210" customFormat="1" ht="36" customHeight="1">
      <c r="C50" s="318">
        <v>28</v>
      </c>
      <c r="D50" s="833" t="str">
        <f>IF('Input-EWEMs'!F39="", "", 'Input-EWEMs'!F39)</f>
        <v/>
      </c>
      <c r="E50" s="834"/>
      <c r="F50" s="317" t="str">
        <f ca="1">IFERROR(INDEX(EWEMQC!L$2:L$14,MATCH('Check Errors'!C50,EWEMQC!A$2:A$14,0)),"")&amp;
IF('Input-EWEMs'!D39&lt;&gt;"",IF(SUM('Input-EWEMs'!N39,'Input-EWEMs'!Q39)=0,"EWEM has no cost savings. ","")&amp;
IF(SUM('Input-EWEMs'!AF39,'Input-EWEMs'!AG39)=0,"EWEM has no energy or water savings. ",""),"")&amp;
IFERROR(IF(SUM(INDEX('Input-EWEMs'!$N$52:$N$61, MATCH($C50, 'Input-EWEMs'!$C$52:$C$61, 0)),INDEX('Input-EWEMs'!$Q$52:$Q$61, MATCH($C50, 'Input-EWEMs'!$C$52:$C$61, 0)))=0,"Adjusted EWEM has no cost savings. ",""),"")&amp;
IFERROR(IF(SUM(INDEX('Input-EWEMs'!$AF$52:$AF$61, MATCH($C50, 'Input-EWEMs'!$C$52:$C$61, 0)),INDEX('Input-EWEMs'!$AG$52:$AG$61, MATCH($C50, 'Input-EWEMs'!$C$52:$C$61, 0)))=0,"Adjusted EWEM has no energy or water savings. ",""),"")&amp;
IFERROR(IF(INDEX('DB-EWEMAdjusted'!K:K,MATCH('Check Errors'!C50,'DB-EWEMAdjusted'!C:C,0))&gt;INDEX('DB-EWEM'!K:K,MATCH('Check Errors'!C50,'DB-EWEM'!C:C,0)),"Cost of adjusted recommendation is greater than cost of originally recommended measure - confirm adjusted cost is correct. ",""),"")&amp;
IF('Input-EWEMs'!E39="","",IF(COUNTIF(MeasureList!$A$3:$N$24,'Input-EWEMs'!E39)&gt;0,IF(ISNUMBER(MATCH('Input-EWEMs'!E39,INDIRECT("MeasureList!"&amp;ADDRESS(1,MATCH('Input-EWEMs'!D39,MeasureList!A$1:'MeasureList'!N$1,0))):INDIRECT("MeasureList!"&amp;ADDRESS(24,MATCH('Input-EWEMs'!D39,MeasureList!A$1:'MeasureList'!N$1,0))),0)),"","Selected EWEM Type does not match EWEM Category. "),"Nonstandard EWEM type was entered - select best match from provided dropdown list. "))&amp;
IF('Input-EWEMs'!D39="","",IF('Input-EWEMs'!D39="Water and sewer conservation",IF('Input-EWEMs'!U39=0,"No water savings for EWEM Category: Water and Sewer Conservation. ",""),IF('Input-EWEMs'!U39&gt;0,"Water savings were entered for energy-saving measure - confirm water savings are expected. ","")))&amp;
IFERROR(IF('Input-EWEMs'!D39="","",IF('Input-EWEMs'!D39="Water and sewer conservation",IF(INDEX('Input-EWEMs'!$U$52:$U$61, MATCH($C50, 'Input-EWEMs'!$C$52:$C$61, 0))=0,"No water savings for EWEM Category: Water and Sewer Conservation (Adjusted EWEM). ",""),IF(INDEX('Input-EWEMs'!$U$52:$U$61, MATCH($C50, 'Input-EWEMs'!$C$52:$C$61, 0))&gt;0,"Water savings were entered for energy-saving measure - confirm water savings are expected (Adjusted EWEM). ",""))),"")</f>
        <v/>
      </c>
      <c r="G50" s="306"/>
    </row>
    <row r="51" spans="3:10" s="210" customFormat="1" ht="36" customHeight="1">
      <c r="C51" s="318">
        <v>29</v>
      </c>
      <c r="D51" s="833" t="str">
        <f>IF('Input-EWEMs'!F40="", "", 'Input-EWEMs'!F40)</f>
        <v/>
      </c>
      <c r="E51" s="834"/>
      <c r="F51" s="317" t="str">
        <f ca="1">IFERROR(INDEX(EWEMQC!L$2:L$14,MATCH('Check Errors'!C51,EWEMQC!A$2:A$14,0)),"")&amp;
IF('Input-EWEMs'!D40&lt;&gt;"",IF(SUM('Input-EWEMs'!N40,'Input-EWEMs'!Q40)=0,"EWEM has no cost savings. ","")&amp;
IF(SUM('Input-EWEMs'!AF40,'Input-EWEMs'!AG40)=0,"EWEM has no energy or water savings. ",""),"")&amp;
IFERROR(IF(SUM(INDEX('Input-EWEMs'!$N$52:$N$61, MATCH($C51, 'Input-EWEMs'!$C$52:$C$61, 0)),INDEX('Input-EWEMs'!$Q$52:$Q$61, MATCH($C51, 'Input-EWEMs'!$C$52:$C$61, 0)))=0,"Adjusted EWEM has no cost savings. ",""),"")&amp;
IFERROR(IF(SUM(INDEX('Input-EWEMs'!$AF$52:$AF$61, MATCH($C51, 'Input-EWEMs'!$C$52:$C$61, 0)),INDEX('Input-EWEMs'!$AG$52:$AG$61, MATCH($C51, 'Input-EWEMs'!$C$52:$C$61, 0)))=0,"Adjusted EWEM has no energy or water savings. ",""),"")&amp;
IFERROR(IF(INDEX('DB-EWEMAdjusted'!K:K,MATCH('Check Errors'!C51,'DB-EWEMAdjusted'!C:C,0))&gt;INDEX('DB-EWEM'!K:K,MATCH('Check Errors'!C51,'DB-EWEM'!C:C,0)),"Cost of adjusted recommendation is greater than cost of originally recommended measure - confirm adjusted cost is correct. ",""),"")&amp;
IF('Input-EWEMs'!E40="","",IF(COUNTIF(MeasureList!$A$3:$N$24,'Input-EWEMs'!E40)&gt;0,IF(ISNUMBER(MATCH('Input-EWEMs'!E40,INDIRECT("MeasureList!"&amp;ADDRESS(1,MATCH('Input-EWEMs'!D40,MeasureList!A$1:'MeasureList'!N$1,0))):INDIRECT("MeasureList!"&amp;ADDRESS(24,MATCH('Input-EWEMs'!D40,MeasureList!A$1:'MeasureList'!N$1,0))),0)),"","Selected EWEM Type does not match EWEM Category. "),"Nonstandard EWEM type was entered - select best match from provided dropdown list. "))&amp;
IF('Input-EWEMs'!D40="","",IF('Input-EWEMs'!D40="Water and sewer conservation",IF('Input-EWEMs'!U40=0,"No water savings for EWEM Category: Water and Sewer Conservation. ",""),IF('Input-EWEMs'!U40&gt;0,"Water savings were entered for energy-saving measure - confirm water savings are expected. ","")))&amp;
IFERROR(IF('Input-EWEMs'!D40="","",IF('Input-EWEMs'!D40="Water and sewer conservation",IF(INDEX('Input-EWEMs'!$U$52:$U$61, MATCH($C51, 'Input-EWEMs'!$C$52:$C$61, 0))=0,"No water savings for EWEM Category: Water and Sewer Conservation (Adjusted EWEM). ",""),IF(INDEX('Input-EWEMs'!$U$52:$U$61, MATCH($C51, 'Input-EWEMs'!$C$52:$C$61, 0))&gt;0,"Water savings were entered for energy-saving measure - confirm water savings are expected (Adjusted EWEM). ",""))),"")</f>
        <v/>
      </c>
      <c r="G51" s="306"/>
    </row>
    <row r="52" spans="3:10" s="210" customFormat="1" ht="36" customHeight="1">
      <c r="C52" s="318">
        <v>30</v>
      </c>
      <c r="D52" s="833" t="str">
        <f>IF('Input-EWEMs'!F41="", "", 'Input-EWEMs'!F41)</f>
        <v/>
      </c>
      <c r="E52" s="834"/>
      <c r="F52" s="317" t="str">
        <f ca="1">IFERROR(INDEX(EWEMQC!L$2:L$14,MATCH('Check Errors'!C52,EWEMQC!A$2:A$14,0)),"")&amp;
IF('Input-EWEMs'!D41&lt;&gt;"",IF(SUM('Input-EWEMs'!N41,'Input-EWEMs'!Q41)=0,"EWEM has no cost savings. ","")&amp;
IF(SUM('Input-EWEMs'!AF41,'Input-EWEMs'!AG41)=0,"EWEM has no energy or water savings. ",""),"")&amp;
IFERROR(IF(SUM(INDEX('Input-EWEMs'!$N$52:$N$61, MATCH($C52, 'Input-EWEMs'!$C$52:$C$61, 0)),INDEX('Input-EWEMs'!$Q$52:$Q$61, MATCH($C52, 'Input-EWEMs'!$C$52:$C$61, 0)))=0,"Adjusted EWEM has no cost savings. ",""),"")&amp;
IFERROR(IF(SUM(INDEX('Input-EWEMs'!$AF$52:$AF$61, MATCH($C52, 'Input-EWEMs'!$C$52:$C$61, 0)),INDEX('Input-EWEMs'!$AG$52:$AG$61, MATCH($C52, 'Input-EWEMs'!$C$52:$C$61, 0)))=0,"Adjusted EWEM has no energy or water savings. ",""),"")&amp;
IFERROR(IF(INDEX('DB-EWEMAdjusted'!K:K,MATCH('Check Errors'!C52,'DB-EWEMAdjusted'!C:C,0))&gt;INDEX('DB-EWEM'!K:K,MATCH('Check Errors'!C52,'DB-EWEM'!C:C,0)),"Cost of adjusted recommendation is greater than cost of originally recommended measure - confirm adjusted cost is correct. ",""),"")&amp;
IF('Input-EWEMs'!E41="","",IF(COUNTIF(MeasureList!$A$3:$N$24,'Input-EWEMs'!E41)&gt;0,IF(ISNUMBER(MATCH('Input-EWEMs'!E41,INDIRECT("MeasureList!"&amp;ADDRESS(1,MATCH('Input-EWEMs'!D41,MeasureList!A$1:'MeasureList'!N$1,0))):INDIRECT("MeasureList!"&amp;ADDRESS(24,MATCH('Input-EWEMs'!D41,MeasureList!A$1:'MeasureList'!N$1,0))),0)),"","Selected EWEM Type does not match EWEM Category. "),"Nonstandard EWEM type was entered - select best match from provided dropdown list. "))&amp;
IF('Input-EWEMs'!D41="","",IF('Input-EWEMs'!D41="Water and sewer conservation",IF('Input-EWEMs'!U41=0,"No water savings for EWEM Category: Water and Sewer Conservation. ",""),IF('Input-EWEMs'!U41&gt;0,"Water savings were entered for energy-saving measure - confirm water savings are expected. ","")))&amp;
IFERROR(IF('Input-EWEMs'!D41="","",IF('Input-EWEMs'!D41="Water and sewer conservation",IF(INDEX('Input-EWEMs'!$U$52:$U$61, MATCH($C52, 'Input-EWEMs'!$C$52:$C$61, 0))=0,"No water savings for EWEM Category: Water and Sewer Conservation (Adjusted EWEM). ",""),IF(INDEX('Input-EWEMs'!$U$52:$U$61, MATCH($C52, 'Input-EWEMs'!$C$52:$C$61, 0))&gt;0,"Water savings were entered for energy-saving measure - confirm water savings are expected (Adjusted EWEM). ",""))),"")</f>
        <v/>
      </c>
      <c r="G52" s="306"/>
    </row>
    <row r="53" spans="3:10" ht="16.5" customHeight="1">
      <c r="C53" s="320"/>
      <c r="D53" s="321"/>
      <c r="E53" s="322"/>
      <c r="F53" s="323"/>
      <c r="G53" s="323"/>
      <c r="H53" s="324"/>
      <c r="I53" s="325"/>
      <c r="J53" s="325"/>
    </row>
    <row r="54" spans="3:10">
      <c r="C54" s="297"/>
    </row>
    <row r="57" spans="3:10">
      <c r="C57" s="213"/>
      <c r="E57" s="213"/>
    </row>
    <row r="59" spans="3:10" ht="14.25">
      <c r="E59" s="296"/>
    </row>
    <row r="60" spans="3:10" ht="14.25">
      <c r="E60" s="296"/>
    </row>
  </sheetData>
  <sheetProtection algorithmName="SHA-512" hashValue="edy+s4/mY3oI/jRYGFfJ1mQyb1W/iRB3h6xyd7MrlU1UoP92D4vxHWeI70jLjK1PUrMviWUgAAeLW98zG9zA4A==" saltValue="Yn89rrQ8poTwDxZczRZ5pg==" spinCount="100000" sheet="1" objects="1" scenarios="1"/>
  <mergeCells count="42">
    <mergeCell ref="D46:E46"/>
    <mergeCell ref="D45:E45"/>
    <mergeCell ref="D44:E44"/>
    <mergeCell ref="D43:E43"/>
    <mergeCell ref="D42:E42"/>
    <mergeCell ref="D51:E51"/>
    <mergeCell ref="D50:E50"/>
    <mergeCell ref="D49:E49"/>
    <mergeCell ref="D48:E48"/>
    <mergeCell ref="D47:E47"/>
    <mergeCell ref="D40:E40"/>
    <mergeCell ref="D41:E41"/>
    <mergeCell ref="D52:E52"/>
    <mergeCell ref="D22:E22"/>
    <mergeCell ref="D23:E23"/>
    <mergeCell ref="D24:E24"/>
    <mergeCell ref="D25:E25"/>
    <mergeCell ref="D26:E26"/>
    <mergeCell ref="D27:E27"/>
    <mergeCell ref="D28:E28"/>
    <mergeCell ref="D29:E29"/>
    <mergeCell ref="D30:E30"/>
    <mergeCell ref="D31:E31"/>
    <mergeCell ref="D32:E32"/>
    <mergeCell ref="D33:E33"/>
    <mergeCell ref="D34:E34"/>
    <mergeCell ref="C18:D18"/>
    <mergeCell ref="C8:D8"/>
    <mergeCell ref="C10:D10"/>
    <mergeCell ref="C15:D15"/>
    <mergeCell ref="C17:D17"/>
    <mergeCell ref="C11:D11"/>
    <mergeCell ref="C12:D12"/>
    <mergeCell ref="C16:D16"/>
    <mergeCell ref="C13:D13"/>
    <mergeCell ref="C14:D14"/>
    <mergeCell ref="C9:D9"/>
    <mergeCell ref="D37:E37"/>
    <mergeCell ref="D38:E38"/>
    <mergeCell ref="D39:E39"/>
    <mergeCell ref="D35:E35"/>
    <mergeCell ref="D36:E36"/>
  </mergeCells>
  <conditionalFormatting sqref="G23:G41 G9:G17">
    <cfRule type="expression" dxfId="47" priority="4">
      <formula>AND($F9&lt;&gt;"", $G9="")</formula>
    </cfRule>
  </conditionalFormatting>
  <conditionalFormatting sqref="G18">
    <cfRule type="expression" dxfId="46" priority="3">
      <formula>AND($F18&lt;&gt;"", $G18="")</formula>
    </cfRule>
  </conditionalFormatting>
  <conditionalFormatting sqref="G42:G51">
    <cfRule type="expression" dxfId="45" priority="2">
      <formula>AND($F42&lt;&gt;"", $G42="")</formula>
    </cfRule>
  </conditionalFormatting>
  <conditionalFormatting sqref="G52">
    <cfRule type="expression" dxfId="44" priority="1">
      <formula>AND($F52&lt;&gt;"", $G52="")</formula>
    </cfRule>
  </conditionalFormatting>
  <pageMargins left="0.7" right="0.7" top="0.75" bottom="0.75" header="0.3" footer="0.3"/>
  <pageSetup paperSize="5" scale="84" orientation="landscape" r:id="rId1"/>
  <headerFooter>
    <oddFooter>&amp;L&amp;"Source Sans Pro,Regular"&amp;8© 2019 Fannie Mae. Trademarks of Fannie Mae.&amp;C&amp;"Source Sans Pro,Regular"&amp;8Form 4099.H - September 2019&amp;R&amp;"Source Sans Pro,Regular"&amp;8Page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L53"/>
  <sheetViews>
    <sheetView showGridLines="0" zoomScale="90" zoomScaleNormal="90" workbookViewId="0">
      <selection activeCell="I46" sqref="I46:I51"/>
    </sheetView>
  </sheetViews>
  <sheetFormatPr defaultColWidth="9.28515625" defaultRowHeight="14.25"/>
  <cols>
    <col min="1" max="2" width="2.28515625" style="210" customWidth="1"/>
    <col min="3" max="3" width="34.28515625" style="210" customWidth="1"/>
    <col min="4" max="7" width="18.7109375" style="210" customWidth="1"/>
    <col min="8" max="8" width="3.28515625" style="210" customWidth="1"/>
    <col min="9" max="9" width="49.28515625" style="210" customWidth="1"/>
    <col min="10" max="10" width="16.28515625" style="210" customWidth="1"/>
    <col min="11" max="11" width="10.28515625" style="210" customWidth="1"/>
    <col min="12" max="12" width="21.5703125" style="210" customWidth="1"/>
    <col min="13" max="13" width="11.7109375" style="210" customWidth="1"/>
    <col min="14" max="14" width="11.28515625" style="210" customWidth="1"/>
    <col min="15" max="16384" width="9.28515625" style="210"/>
  </cols>
  <sheetData>
    <row r="1" spans="1:12" s="187" customFormat="1" ht="23.25" customHeight="1">
      <c r="A1" s="188"/>
      <c r="B1" s="185" t="s">
        <v>367</v>
      </c>
      <c r="C1" s="186"/>
      <c r="D1" s="186"/>
      <c r="E1" s="186"/>
      <c r="F1" s="186"/>
      <c r="G1" s="186"/>
      <c r="H1" s="186"/>
      <c r="I1" s="186"/>
      <c r="L1" s="207"/>
    </row>
    <row r="2" spans="1:12" s="187" customFormat="1" ht="15" customHeight="1">
      <c r="A2" s="188"/>
      <c r="C2" s="186"/>
      <c r="D2" s="186"/>
      <c r="E2" s="186"/>
      <c r="F2" s="186"/>
      <c r="G2" s="186"/>
      <c r="H2" s="186"/>
      <c r="I2" s="186"/>
    </row>
    <row r="3" spans="1:12" s="188" customFormat="1" ht="26.25">
      <c r="B3" s="208" t="s">
        <v>317</v>
      </c>
      <c r="G3" s="186"/>
    </row>
    <row r="4" spans="1:12" s="187" customFormat="1" ht="16.5" customHeight="1">
      <c r="A4" s="188"/>
      <c r="B4" s="209" t="s">
        <v>817</v>
      </c>
      <c r="C4" s="188"/>
      <c r="D4" s="188"/>
      <c r="E4" s="188"/>
      <c r="F4" s="188"/>
      <c r="G4" s="186"/>
    </row>
    <row r="5" spans="1:12" ht="15.75" customHeight="1">
      <c r="C5" s="326"/>
      <c r="D5" s="327"/>
      <c r="E5" s="327"/>
      <c r="G5" s="207"/>
    </row>
    <row r="6" spans="1:12" ht="22.5" customHeight="1" thickBot="1">
      <c r="B6" s="328" t="s">
        <v>318</v>
      </c>
      <c r="C6" s="329"/>
      <c r="D6" s="329"/>
      <c r="E6" s="329"/>
      <c r="F6" s="329"/>
      <c r="G6" s="329"/>
    </row>
    <row r="7" spans="1:12" ht="22.5" customHeight="1">
      <c r="C7" s="330"/>
    </row>
    <row r="8" spans="1:12" s="220" customFormat="1" ht="20.100000000000001" customHeight="1">
      <c r="C8" s="331" t="s">
        <v>64</v>
      </c>
      <c r="D8" s="849"/>
      <c r="E8" s="849"/>
    </row>
    <row r="9" spans="1:12" s="220" customFormat="1" ht="9.75" customHeight="1">
      <c r="D9" s="332"/>
    </row>
    <row r="10" spans="1:12" s="220" customFormat="1" ht="20.100000000000001" customHeight="1">
      <c r="C10" s="331" t="s">
        <v>370</v>
      </c>
      <c r="D10" s="849"/>
      <c r="E10" s="849"/>
    </row>
    <row r="11" spans="1:12" s="220" customFormat="1" ht="9.75" customHeight="1">
      <c r="D11" s="333"/>
    </row>
    <row r="12" spans="1:12" s="220" customFormat="1" ht="19.5" customHeight="1">
      <c r="C12" s="334" t="s">
        <v>392</v>
      </c>
      <c r="D12" s="335"/>
    </row>
    <row r="13" spans="1:12" s="220" customFormat="1" ht="19.5" customHeight="1">
      <c r="C13" s="223" t="s">
        <v>368</v>
      </c>
      <c r="D13" s="336"/>
    </row>
    <row r="14" spans="1:12" s="220" customFormat="1" ht="9.75" customHeight="1">
      <c r="D14" s="333"/>
    </row>
    <row r="15" spans="1:12" s="220" customFormat="1" ht="19.5" customHeight="1">
      <c r="C15" s="223" t="s">
        <v>426</v>
      </c>
      <c r="D15" s="337"/>
    </row>
    <row r="16" spans="1:12" s="220" customFormat="1" ht="19.5" customHeight="1">
      <c r="C16" s="338" t="s">
        <v>427</v>
      </c>
      <c r="D16" s="339"/>
    </row>
    <row r="17" spans="2:7" s="220" customFormat="1" ht="19.5" customHeight="1">
      <c r="C17" s="338" t="s">
        <v>428</v>
      </c>
      <c r="D17" s="339"/>
    </row>
    <row r="18" spans="2:7" ht="19.5" customHeight="1">
      <c r="C18" s="338" t="s">
        <v>429</v>
      </c>
      <c r="D18" s="339"/>
    </row>
    <row r="19" spans="2:7" s="220" customFormat="1" ht="19.5" customHeight="1">
      <c r="C19" s="338" t="s">
        <v>430</v>
      </c>
      <c r="D19" s="336"/>
    </row>
    <row r="21" spans="2:7" ht="24" customHeight="1" thickBot="1">
      <c r="B21" s="328" t="s">
        <v>309</v>
      </c>
      <c r="C21" s="329"/>
      <c r="D21" s="329"/>
      <c r="E21" s="329"/>
      <c r="F21" s="329"/>
      <c r="G21" s="329"/>
    </row>
    <row r="22" spans="2:7" ht="22.5" customHeight="1">
      <c r="C22" s="330"/>
      <c r="D22" s="340"/>
    </row>
    <row r="23" spans="2:7" s="220" customFormat="1" ht="20.100000000000001" customHeight="1">
      <c r="C23" s="331" t="s">
        <v>311</v>
      </c>
      <c r="D23" s="341"/>
    </row>
    <row r="24" spans="2:7" s="220" customFormat="1" ht="19.5" customHeight="1">
      <c r="C24" s="331" t="s">
        <v>66</v>
      </c>
      <c r="D24" s="342"/>
    </row>
    <row r="25" spans="2:7" s="220" customFormat="1" ht="19.5" customHeight="1">
      <c r="C25" s="331" t="s">
        <v>67</v>
      </c>
      <c r="D25" s="342"/>
    </row>
    <row r="26" spans="2:7" s="220" customFormat="1" ht="19.5" customHeight="1">
      <c r="C26" s="331" t="s">
        <v>226</v>
      </c>
      <c r="D26" s="343"/>
      <c r="F26" s="210"/>
    </row>
    <row r="27" spans="2:7" s="220" customFormat="1" ht="10.5" customHeight="1">
      <c r="D27" s="344"/>
      <c r="F27" s="210"/>
    </row>
    <row r="28" spans="2:7" s="220" customFormat="1" ht="19.5" customHeight="1">
      <c r="C28" s="331" t="s">
        <v>68</v>
      </c>
      <c r="D28" s="341"/>
    </row>
    <row r="29" spans="2:7" s="220" customFormat="1" ht="33" customHeight="1">
      <c r="C29" s="345" t="s">
        <v>107</v>
      </c>
      <c r="D29" s="346"/>
    </row>
    <row r="30" spans="2:7" s="220" customFormat="1" ht="9.75" customHeight="1">
      <c r="D30" s="333"/>
    </row>
    <row r="31" spans="2:7" s="220" customFormat="1" ht="18.75" customHeight="1">
      <c r="C31" s="331" t="s">
        <v>312</v>
      </c>
      <c r="D31" s="341"/>
    </row>
    <row r="32" spans="2:7" s="220" customFormat="1" ht="19.5" customHeight="1">
      <c r="C32" s="331" t="s">
        <v>65</v>
      </c>
      <c r="D32" s="347"/>
    </row>
    <row r="33" spans="1:11" s="220" customFormat="1" ht="19.5" customHeight="1">
      <c r="C33" s="331" t="s">
        <v>229</v>
      </c>
      <c r="D33" s="348"/>
    </row>
    <row r="34" spans="1:11" s="220" customFormat="1" ht="15.75" customHeight="1">
      <c r="D34" s="349"/>
      <c r="K34" s="350"/>
    </row>
    <row r="35" spans="1:11" s="220" customFormat="1" ht="23.25" customHeight="1" thickBot="1">
      <c r="A35" s="210"/>
      <c r="B35" s="328" t="s">
        <v>286</v>
      </c>
      <c r="C35" s="329"/>
      <c r="D35" s="190"/>
      <c r="E35" s="329"/>
      <c r="F35" s="329"/>
      <c r="G35" s="329"/>
      <c r="K35" s="350"/>
    </row>
    <row r="36" spans="1:11" s="220" customFormat="1" ht="22.5" customHeight="1">
      <c r="D36" s="349"/>
      <c r="K36" s="350"/>
    </row>
    <row r="37" spans="1:11" s="351" customFormat="1" ht="20.100000000000001" customHeight="1">
      <c r="C37" s="331" t="s">
        <v>278</v>
      </c>
      <c r="D37" s="352"/>
    </row>
    <row r="38" spans="1:11" s="351" customFormat="1" ht="20.100000000000001" customHeight="1">
      <c r="C38" s="331" t="s">
        <v>279</v>
      </c>
      <c r="D38" s="342"/>
    </row>
    <row r="39" spans="1:11" s="353" customFormat="1" ht="20.100000000000001" customHeight="1">
      <c r="C39" s="331" t="s">
        <v>280</v>
      </c>
      <c r="D39" s="342"/>
      <c r="F39" s="354"/>
      <c r="H39" s="351"/>
      <c r="I39" s="351"/>
      <c r="J39" s="351"/>
    </row>
    <row r="40" spans="1:11" ht="20.100000000000001" customHeight="1">
      <c r="C40" s="331" t="s">
        <v>281</v>
      </c>
      <c r="D40" s="342"/>
      <c r="E40" s="331" t="s">
        <v>420</v>
      </c>
      <c r="F40" s="341"/>
    </row>
    <row r="41" spans="1:11" ht="20.100000000000001" customHeight="1">
      <c r="C41" s="355" t="s">
        <v>282</v>
      </c>
      <c r="D41" s="356"/>
      <c r="E41" s="357" t="s">
        <v>421</v>
      </c>
      <c r="F41" s="356"/>
    </row>
    <row r="42" spans="1:11" ht="20.100000000000001" customHeight="1">
      <c r="C42" s="331" t="s">
        <v>283</v>
      </c>
      <c r="D42" s="358">
        <f>SUM(D37:D41)</f>
        <v>0</v>
      </c>
      <c r="E42" s="331" t="s">
        <v>419</v>
      </c>
      <c r="F42" s="358">
        <f>SUM(F40:F41)</f>
        <v>0</v>
      </c>
    </row>
    <row r="43" spans="1:11" ht="20.100000000000001" customHeight="1">
      <c r="C43" s="331" t="s">
        <v>287</v>
      </c>
      <c r="D43" s="359">
        <f>D37+D38+D39*2+D40*3+D41*4</f>
        <v>0</v>
      </c>
    </row>
    <row r="44" spans="1:11" ht="12" customHeight="1">
      <c r="C44" s="360"/>
      <c r="D44" s="361"/>
    </row>
    <row r="45" spans="1:11" ht="20.100000000000001" customHeight="1" thickBot="1">
      <c r="C45" s="331" t="s">
        <v>305</v>
      </c>
      <c r="D45" s="362"/>
      <c r="E45" s="351"/>
      <c r="F45" s="351"/>
      <c r="G45" s="351"/>
      <c r="H45" s="351"/>
      <c r="I45" s="363" t="s">
        <v>301</v>
      </c>
    </row>
    <row r="46" spans="1:11" ht="12.75" customHeight="1" thickTop="1">
      <c r="I46" s="850" t="str">
        <f>IF(D45="","",IF(D45&lt;0.85, "Please confirm that this property has been at stabilized occupancy for at least 12 months. This property may not be eligible for Green Rewards. ",""))</f>
        <v/>
      </c>
    </row>
    <row r="47" spans="1:11">
      <c r="C47" s="364"/>
      <c r="D47" s="365" t="s">
        <v>60</v>
      </c>
      <c r="E47" s="366" t="s">
        <v>61</v>
      </c>
      <c r="I47" s="847"/>
    </row>
    <row r="48" spans="1:11">
      <c r="C48" s="331" t="s">
        <v>86</v>
      </c>
      <c r="D48" s="367">
        <f>MROUND((D42+D43-D37)*D45, 1)</f>
        <v>0</v>
      </c>
      <c r="E48" s="368"/>
      <c r="I48" s="847"/>
    </row>
    <row r="49" spans="3:9" ht="10.5" customHeight="1">
      <c r="I49" s="847"/>
    </row>
    <row r="50" spans="3:9">
      <c r="D50" s="369" t="s">
        <v>299</v>
      </c>
      <c r="E50" s="370"/>
      <c r="F50" s="370"/>
      <c r="G50" s="371"/>
      <c r="I50" s="847"/>
    </row>
    <row r="51" spans="3:9">
      <c r="D51" s="829"/>
      <c r="E51" s="830"/>
      <c r="F51" s="830"/>
      <c r="G51" s="831"/>
      <c r="I51" s="847"/>
    </row>
    <row r="52" spans="3:9">
      <c r="I52" s="847" t="str">
        <f>IF(D53="","",IF(D53&lt;Assumptions!C86, "Number of units sampled is below minimum required sample size. (See Form 4099 Table 5.08.C.4.1.) ",""))</f>
        <v/>
      </c>
    </row>
    <row r="53" spans="3:9" ht="20.100000000000001" customHeight="1">
      <c r="C53" s="331" t="s">
        <v>629</v>
      </c>
      <c r="D53" s="372"/>
      <c r="I53" s="848"/>
    </row>
  </sheetData>
  <sheetProtection algorithmName="SHA-512" hashValue="M2n9obwUA8NNhtYSwmAEX+Ol1DyQO6ZMFM9pqNdlu3/lGKxRHCCwdiBYx1dnSl4mvy7J2/+kmrwwx7tZsq36ZA==" saltValue="k7/4lwoQTTNNrIbJg5l7jw==" spinCount="100000" sheet="1" objects="1" scenarios="1"/>
  <mergeCells count="5">
    <mergeCell ref="I52:I53"/>
    <mergeCell ref="D51:G51"/>
    <mergeCell ref="D10:E10"/>
    <mergeCell ref="D8:E8"/>
    <mergeCell ref="I46:I51"/>
  </mergeCells>
  <conditionalFormatting sqref="D51">
    <cfRule type="expression" dxfId="43" priority="19">
      <formula>AND($E48&lt;&gt;"",$D$51="")</formula>
    </cfRule>
  </conditionalFormatting>
  <conditionalFormatting sqref="D8 D37:D41 D45 D23:D26 D28 D31:D32 D10 D15">
    <cfRule type="expression" dxfId="42" priority="14">
      <formula>D8=""</formula>
    </cfRule>
  </conditionalFormatting>
  <conditionalFormatting sqref="D13">
    <cfRule type="expression" dxfId="41" priority="11">
      <formula>D13=""</formula>
    </cfRule>
  </conditionalFormatting>
  <conditionalFormatting sqref="D12">
    <cfRule type="expression" dxfId="40" priority="8">
      <formula>D12=""</formula>
    </cfRule>
  </conditionalFormatting>
  <conditionalFormatting sqref="F40:F41">
    <cfRule type="expression" dxfId="39" priority="3">
      <formula>F40=""</formula>
    </cfRule>
  </conditionalFormatting>
  <conditionalFormatting sqref="D53">
    <cfRule type="expression" dxfId="38" priority="2">
      <formula>D53=""</formula>
    </cfRule>
  </conditionalFormatting>
  <dataValidations count="9">
    <dataValidation type="textLength" operator="equal" allowBlank="1" showInputMessage="1" showErrorMessage="1" error="Please use two-letter state abbreviation." sqref="D25">
      <formula1>2</formula1>
    </dataValidation>
    <dataValidation type="date" allowBlank="1" showInputMessage="1" showErrorMessage="1" sqref="D12:D13 D15:D19">
      <formula1>42005</formula1>
      <formula2>46388</formula2>
    </dataValidation>
    <dataValidation type="whole" allowBlank="1" showInputMessage="1" showErrorMessage="1" sqref="D28:D29">
      <formula1>1700</formula1>
      <formula2>2050</formula2>
    </dataValidation>
    <dataValidation type="whole" operator="greaterThanOrEqual" allowBlank="1" showInputMessage="1" showErrorMessage="1" error="Number of full baths cannot be fewer than the number of units at the property." sqref="F40">
      <formula1>D42</formula1>
    </dataValidation>
    <dataValidation type="whole" operator="greaterThanOrEqual" allowBlank="1" showInputMessage="1" showErrorMessage="1" sqref="F41 D37:D41 D31:D32">
      <formula1>0</formula1>
    </dataValidation>
    <dataValidation type="textLength" operator="equal" allowBlank="1" showInputMessage="1" showErrorMessage="1" error="Enter a valid 5-digit zip code." sqref="D26">
      <formula1>5</formula1>
    </dataValidation>
    <dataValidation type="whole" allowBlank="1" showInputMessage="1" showErrorMessage="1" error="Number of units sampled cannot be greater than total number of units." sqref="D53">
      <formula1>0</formula1>
      <formula2>D42</formula2>
    </dataValidation>
    <dataValidation type="decimal" operator="greaterThan" allowBlank="1" showInputMessage="1" showErrorMessage="1" sqref="D45 E48">
      <formula1>0</formula1>
    </dataValidation>
    <dataValidation type="whole" operator="lessThanOrEqual" allowBlank="1" showInputMessage="1" showErrorMessage="1" error="Rentable Square Footage cannot be greater than Gross Square Footage." sqref="D33">
      <formula1>D32</formula1>
    </dataValidation>
  </dataValidations>
  <pageMargins left="0.7" right="0.7" top="0.75" bottom="0.75" header="0.3" footer="0.3"/>
  <pageSetup paperSize="5" scale="84" orientation="landscape" r:id="rId1"/>
  <headerFooter>
    <oddFooter>&amp;L&amp;"Source Sans Pro,Regular"&amp;8© 2019 Fannie Mae. Trademarks of Fannie Mae.&amp;C&amp;"Source Sans Pro,Regular"&amp;8Form 4099.H - September 2019&amp;R&amp;"Source Sans Pro,Regular"&amp;8Page &amp;P of &amp;N</oddFooter>
  </headerFooter>
  <colBreaks count="1" manualBreakCount="1">
    <brk id="8"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43"/>
  <sheetViews>
    <sheetView workbookViewId="0">
      <selection activeCell="D13" sqref="D13"/>
    </sheetView>
  </sheetViews>
  <sheetFormatPr defaultRowHeight="15"/>
  <cols>
    <col min="1" max="1" width="27.5703125" customWidth="1"/>
    <col min="2" max="2" width="21.5703125" customWidth="1"/>
    <col min="3" max="3" width="25.28515625" customWidth="1"/>
    <col min="4" max="4" width="13.7109375" customWidth="1"/>
    <col min="5" max="5" width="12.42578125" customWidth="1"/>
  </cols>
  <sheetData>
    <row r="1" spans="1:23">
      <c r="A1" s="48" t="s">
        <v>96</v>
      </c>
      <c r="B1" s="47"/>
      <c r="C1" s="47"/>
      <c r="D1" s="47"/>
      <c r="E1" s="47"/>
      <c r="F1" s="47"/>
      <c r="G1" s="47"/>
      <c r="H1" s="47"/>
      <c r="I1" s="47"/>
      <c r="J1" s="47"/>
      <c r="K1" s="47"/>
      <c r="L1" s="47"/>
      <c r="M1" s="47"/>
      <c r="N1" s="47"/>
      <c r="O1" s="47"/>
      <c r="P1" s="47"/>
      <c r="Q1" s="47"/>
      <c r="R1" s="47"/>
      <c r="S1" s="47"/>
      <c r="T1" s="47"/>
      <c r="U1" s="47"/>
      <c r="V1" s="47"/>
      <c r="W1" s="47"/>
    </row>
    <row r="2" spans="1:23">
      <c r="A2" s="5" t="s">
        <v>78</v>
      </c>
      <c r="B2" s="5" t="s">
        <v>82</v>
      </c>
      <c r="C2" s="5" t="s">
        <v>75</v>
      </c>
      <c r="D2" s="5" t="s">
        <v>80</v>
      </c>
      <c r="E2" s="5" t="s">
        <v>81</v>
      </c>
    </row>
    <row r="3" spans="1:23">
      <c r="A3" t="s">
        <v>79</v>
      </c>
      <c r="B3" t="s">
        <v>2</v>
      </c>
      <c r="C3" t="s">
        <v>83</v>
      </c>
      <c r="D3" s="1">
        <v>0.02</v>
      </c>
      <c r="E3" s="1">
        <v>0.5</v>
      </c>
    </row>
    <row r="4" spans="1:23">
      <c r="A4" t="s">
        <v>79</v>
      </c>
      <c r="B4" t="s">
        <v>0</v>
      </c>
      <c r="C4" t="s">
        <v>85</v>
      </c>
      <c r="D4" s="1">
        <f>2.5*10^-6</f>
        <v>2.4999999999999998E-6</v>
      </c>
      <c r="E4" s="1">
        <f>30*10^-6</f>
        <v>2.9999999999999997E-5</v>
      </c>
    </row>
    <row r="5" spans="1:23">
      <c r="A5" t="s">
        <v>79</v>
      </c>
      <c r="B5" t="s">
        <v>1</v>
      </c>
      <c r="C5" t="s">
        <v>85</v>
      </c>
      <c r="D5" s="1">
        <f>1/149690</f>
        <v>6.6804729774868063E-6</v>
      </c>
      <c r="E5" s="1">
        <f>5/138690</f>
        <v>3.6051625928329368E-5</v>
      </c>
    </row>
    <row r="6" spans="1:23">
      <c r="A6" t="s">
        <v>79</v>
      </c>
      <c r="B6" t="s">
        <v>12</v>
      </c>
      <c r="C6" t="s">
        <v>85</v>
      </c>
      <c r="D6" s="1">
        <f>1/91648</f>
        <v>1.0911312849162012E-5</v>
      </c>
      <c r="E6" s="1">
        <f>5/91648</f>
        <v>5.4556564245810053E-5</v>
      </c>
    </row>
    <row r="7" spans="1:23">
      <c r="A7" t="s">
        <v>79</v>
      </c>
      <c r="B7" t="s">
        <v>232</v>
      </c>
      <c r="C7" t="s">
        <v>85</v>
      </c>
      <c r="D7">
        <f>16.75042*10^-6</f>
        <v>1.6750419999999996E-5</v>
      </c>
      <c r="E7">
        <f>41.87605*10^-6</f>
        <v>4.187605E-5</v>
      </c>
    </row>
    <row r="8" spans="1:23">
      <c r="A8" t="s">
        <v>79</v>
      </c>
      <c r="B8" t="s">
        <v>3</v>
      </c>
      <c r="C8" t="s">
        <v>84</v>
      </c>
      <c r="D8">
        <v>2E-3</v>
      </c>
      <c r="E8">
        <v>2.5000000000000001E-2</v>
      </c>
    </row>
    <row r="9" spans="1:23">
      <c r="A9" t="s">
        <v>383</v>
      </c>
      <c r="B9" t="s">
        <v>385</v>
      </c>
      <c r="C9" t="s">
        <v>384</v>
      </c>
      <c r="E9">
        <v>400</v>
      </c>
    </row>
    <row r="15" spans="1:23">
      <c r="A15" s="48" t="s">
        <v>69</v>
      </c>
      <c r="B15" s="47"/>
      <c r="C15" s="47"/>
      <c r="D15" s="47"/>
      <c r="E15" s="47"/>
      <c r="F15" s="47"/>
      <c r="G15" s="47"/>
      <c r="H15" s="47"/>
      <c r="I15" s="47"/>
      <c r="J15" s="47"/>
      <c r="K15" s="47"/>
      <c r="L15" s="47"/>
      <c r="M15" s="47"/>
      <c r="N15" s="47"/>
      <c r="O15" s="47"/>
      <c r="P15" s="47"/>
      <c r="Q15" s="47"/>
      <c r="R15" s="47"/>
      <c r="S15" s="47"/>
      <c r="T15" s="47"/>
      <c r="U15" s="47"/>
      <c r="V15" s="47"/>
      <c r="W15" s="47"/>
    </row>
    <row r="16" spans="1:23">
      <c r="A16" s="5" t="s">
        <v>78</v>
      </c>
      <c r="B16" s="5" t="s">
        <v>82</v>
      </c>
      <c r="C16" s="5" t="s">
        <v>75</v>
      </c>
      <c r="D16" s="5" t="s">
        <v>80</v>
      </c>
      <c r="E16" s="5" t="s">
        <v>81</v>
      </c>
    </row>
    <row r="30" spans="1:23">
      <c r="A30" s="48" t="s">
        <v>97</v>
      </c>
      <c r="B30" s="47"/>
      <c r="C30" s="47"/>
      <c r="D30" s="47"/>
      <c r="E30" s="47"/>
      <c r="F30" s="47"/>
      <c r="G30" s="47"/>
      <c r="H30" s="47"/>
      <c r="I30" s="47"/>
      <c r="J30" s="47"/>
      <c r="K30" s="47"/>
      <c r="L30" s="47"/>
      <c r="M30" s="47"/>
      <c r="N30" s="47"/>
      <c r="O30" s="47"/>
      <c r="P30" s="47"/>
      <c r="Q30" s="47"/>
      <c r="R30" s="47"/>
      <c r="S30" s="47"/>
      <c r="T30" s="47"/>
      <c r="U30" s="47"/>
      <c r="V30" s="47"/>
      <c r="W30" s="47"/>
    </row>
    <row r="31" spans="1:23">
      <c r="A31" s="5" t="s">
        <v>78</v>
      </c>
      <c r="B31" s="5" t="s">
        <v>82</v>
      </c>
      <c r="C31" s="5" t="s">
        <v>75</v>
      </c>
      <c r="D31" s="5" t="s">
        <v>80</v>
      </c>
      <c r="E31" s="5" t="s">
        <v>81</v>
      </c>
    </row>
    <row r="32" spans="1:23">
      <c r="A32" t="s">
        <v>77</v>
      </c>
      <c r="B32" t="s">
        <v>101</v>
      </c>
      <c r="C32" t="s">
        <v>104</v>
      </c>
      <c r="D32">
        <v>0.8</v>
      </c>
    </row>
    <row r="33" spans="1:5">
      <c r="A33" t="s">
        <v>77</v>
      </c>
      <c r="B33" t="s">
        <v>292</v>
      </c>
      <c r="C33" t="s">
        <v>105</v>
      </c>
      <c r="D33">
        <v>0.5</v>
      </c>
    </row>
    <row r="34" spans="1:5">
      <c r="A34" t="s">
        <v>77</v>
      </c>
      <c r="B34" t="s">
        <v>102</v>
      </c>
      <c r="C34" t="s">
        <v>105</v>
      </c>
      <c r="D34">
        <v>1</v>
      </c>
    </row>
    <row r="35" spans="1:5">
      <c r="A35" t="s">
        <v>77</v>
      </c>
      <c r="B35" t="s">
        <v>103</v>
      </c>
      <c r="C35" t="s">
        <v>105</v>
      </c>
      <c r="D35">
        <v>1.25</v>
      </c>
    </row>
    <row r="36" spans="1:5">
      <c r="A36" t="s">
        <v>77</v>
      </c>
      <c r="B36" t="s">
        <v>101</v>
      </c>
      <c r="C36" t="s">
        <v>256</v>
      </c>
      <c r="E36">
        <v>3</v>
      </c>
    </row>
    <row r="37" spans="1:5">
      <c r="A37" t="s">
        <v>77</v>
      </c>
      <c r="B37" t="s">
        <v>292</v>
      </c>
      <c r="C37" t="s">
        <v>257</v>
      </c>
      <c r="E37">
        <v>2.5</v>
      </c>
    </row>
    <row r="38" spans="1:5">
      <c r="A38" t="s">
        <v>77</v>
      </c>
      <c r="B38" t="s">
        <v>102</v>
      </c>
      <c r="C38" t="s">
        <v>257</v>
      </c>
      <c r="E38">
        <v>2.5</v>
      </c>
    </row>
    <row r="39" spans="1:5">
      <c r="A39" t="s">
        <v>77</v>
      </c>
      <c r="B39" t="s">
        <v>103</v>
      </c>
      <c r="C39" t="s">
        <v>257</v>
      </c>
      <c r="E39">
        <v>2.75</v>
      </c>
    </row>
    <row r="40" spans="1:5">
      <c r="A40" t="s">
        <v>90</v>
      </c>
      <c r="B40" t="s">
        <v>93</v>
      </c>
      <c r="C40" t="s">
        <v>94</v>
      </c>
      <c r="D40">
        <v>12</v>
      </c>
      <c r="E40">
        <v>45</v>
      </c>
    </row>
    <row r="41" spans="1:5">
      <c r="A41" t="s">
        <v>90</v>
      </c>
      <c r="B41" t="s">
        <v>100</v>
      </c>
      <c r="C41" t="s">
        <v>94</v>
      </c>
      <c r="D41">
        <v>12</v>
      </c>
      <c r="E41">
        <v>81</v>
      </c>
    </row>
    <row r="42" spans="1:5">
      <c r="A42" t="s">
        <v>112</v>
      </c>
      <c r="B42" t="s">
        <v>108</v>
      </c>
      <c r="C42" t="s">
        <v>113</v>
      </c>
      <c r="D42">
        <v>1.6</v>
      </c>
      <c r="E42">
        <v>6.5</v>
      </c>
    </row>
    <row r="43" spans="1:5">
      <c r="A43" t="s">
        <v>90</v>
      </c>
      <c r="B43" t="s">
        <v>93</v>
      </c>
      <c r="C43" t="s">
        <v>293</v>
      </c>
      <c r="D43">
        <v>110</v>
      </c>
      <c r="E43">
        <v>146</v>
      </c>
    </row>
  </sheetData>
  <pageMargins left="0.7" right="0.7" top="0.75" bottom="0.75" header="0.3" footer="0.3"/>
  <pageSetup orientation="portrait" r:id="rId1"/>
  <headerFooter>
    <oddFooter>&amp;CConfidential - Internal Distribution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90" zoomScaleNormal="90" workbookViewId="0">
      <selection activeCell="C32" sqref="C32"/>
    </sheetView>
  </sheetViews>
  <sheetFormatPr defaultColWidth="9.28515625" defaultRowHeight="15"/>
  <cols>
    <col min="1" max="1" width="9.28515625" style="69"/>
    <col min="2" max="2" width="48.28515625" style="69" customWidth="1"/>
    <col min="3" max="3" width="44.28515625" style="69" customWidth="1"/>
    <col min="4" max="4" width="13.5703125" style="69" customWidth="1"/>
    <col min="5" max="5" width="14.28515625" style="69" customWidth="1"/>
    <col min="6" max="6" width="13.42578125" style="69" customWidth="1"/>
    <col min="7" max="7" width="12.5703125" style="69" customWidth="1"/>
    <col min="8" max="16384" width="9.28515625" style="69"/>
  </cols>
  <sheetData>
    <row r="1" spans="1:12">
      <c r="A1" s="75" t="s">
        <v>480</v>
      </c>
      <c r="B1" s="69" t="s">
        <v>221</v>
      </c>
      <c r="C1" s="69" t="s">
        <v>258</v>
      </c>
      <c r="D1" s="75" t="s">
        <v>251</v>
      </c>
      <c r="E1" s="75" t="s">
        <v>252</v>
      </c>
      <c r="F1" s="75" t="s">
        <v>483</v>
      </c>
      <c r="G1" s="75" t="s">
        <v>484</v>
      </c>
      <c r="H1" s="69" t="s">
        <v>259</v>
      </c>
      <c r="I1" s="69" t="s">
        <v>260</v>
      </c>
      <c r="J1" s="69" t="s">
        <v>261</v>
      </c>
      <c r="K1" s="69" t="s">
        <v>262</v>
      </c>
      <c r="L1" s="69" t="s">
        <v>255</v>
      </c>
    </row>
    <row r="2" spans="1:12">
      <c r="A2" s="69" t="str">
        <f>IFERROR(INDEX('Input-EWEMs'!C$12:C$41,MATCH(EWEMQC!B2,'Input-EWEMs'!E$12:E$41,0)),"")</f>
        <v/>
      </c>
      <c r="B2" s="70" t="s">
        <v>181</v>
      </c>
      <c r="C2" s="75" t="s">
        <v>717</v>
      </c>
      <c r="D2" s="74" t="str">
        <f>IFERROR(IF(INDEX('Input-EWEMs'!AG$12:AG$41,MATCH(EWEMQC!B2,'Input-EWEMs'!E$12:E$41,0))&gt;0, TRUE, FALSE),"")</f>
        <v/>
      </c>
      <c r="E2" s="74" t="str">
        <f>IFERROR(IF(INDEX('Input-EWEMs'!AF$12:AF$41,MATCH(EWEMQC!B2,'Input-EWEMs'!E$12:E$41,0))&gt;0, TRUE, FALSE),"")</f>
        <v/>
      </c>
      <c r="F2" s="74" t="str">
        <f>IFERROR(IF(INDEX('Input-EWEMs'!AG$52:AG$61,MATCH(EWEMQC!B2,'Input-EWEMs'!E$52:E$61,0))&gt;0, TRUE, FALSE),"")</f>
        <v/>
      </c>
      <c r="G2" s="74" t="str">
        <f>IFERROR(IF(INDEX('Input-EWEMs'!AF$52:AF$61,MATCH(EWEMQC!B2,'Input-EWEMs'!E$52:E$61,0))&gt;0, TRUE, FALSE),"")</f>
        <v/>
      </c>
      <c r="H2" s="71" t="str">
        <f>IF(E2=TRUE, "Energy savings have been provided when only water savings are expected. ","")</f>
        <v/>
      </c>
      <c r="I2" s="71" t="str">
        <f>'Input-WaterCalc'!O19</f>
        <v/>
      </c>
      <c r="J2" s="71"/>
      <c r="K2" s="71"/>
      <c r="L2" s="72" t="str">
        <f>H2&amp;I2&amp;J2&amp;K2</f>
        <v/>
      </c>
    </row>
    <row r="3" spans="1:12">
      <c r="A3" s="69" t="str">
        <f>IFERROR(INDEX('Input-EWEMs'!C$12:C$41,MATCH(EWEMQC!B3,'Input-EWEMs'!E$12:E$41,0)),"")</f>
        <v/>
      </c>
      <c r="B3" s="70" t="s">
        <v>185</v>
      </c>
      <c r="C3" s="69" t="s">
        <v>253</v>
      </c>
      <c r="D3" s="74" t="str">
        <f>IFERROR(IF(INDEX('Input-EWEMs'!AG$12:AG$41,MATCH(EWEMQC!B3,'Input-EWEMs'!E$12:E$41,0))&gt;0, TRUE, FALSE),"")</f>
        <v/>
      </c>
      <c r="E3" s="74" t="str">
        <f>IFERROR(IF(INDEX('Input-EWEMs'!AF$12:AF$41,MATCH(EWEMQC!B3,'Input-EWEMs'!E$12:E$41,0))&gt;0, TRUE, FALSE),"")</f>
        <v/>
      </c>
      <c r="F3" s="74" t="str">
        <f>IFERROR(IF(INDEX('Input-EWEMs'!AG$52:AG$61,MATCH(EWEMQC!B3,'Input-EWEMs'!E$52:E$61,0))&gt;0, TRUE, FALSE),"")</f>
        <v/>
      </c>
      <c r="G3" s="74" t="str">
        <f>IFERROR(IF(INDEX('Input-EWEMs'!AF$52:AF$61,MATCH(EWEMQC!B3,'Input-EWEMs'!E$52:E$61,0))&gt;0, TRUE, FALSE),"")</f>
        <v/>
      </c>
      <c r="H3" s="71" t="str">
        <f>IF(OR(E3=FALSE,G3=FALSE), "Energy savings from reducing DHW consumption have not been included. ", "")</f>
        <v/>
      </c>
      <c r="I3" s="71" t="str">
        <f>'Input-WaterCalc'!O15</f>
        <v/>
      </c>
      <c r="J3" s="71"/>
      <c r="K3" s="71"/>
      <c r="L3" s="72" t="str">
        <f>H3&amp;I3&amp;J3&amp;K3</f>
        <v/>
      </c>
    </row>
    <row r="4" spans="1:12">
      <c r="A4" s="69" t="str">
        <f>IFERROR(INDEX('Input-EWEMs'!C$12:C$41,MATCH(EWEMQC!B4,'Input-EWEMs'!E$12:E$41,0)),"")</f>
        <v/>
      </c>
      <c r="B4" s="70" t="s">
        <v>184</v>
      </c>
      <c r="C4" s="69" t="s">
        <v>253</v>
      </c>
      <c r="D4" s="74" t="str">
        <f>IFERROR(IF(INDEX('Input-EWEMs'!AG$12:AG$41,MATCH(EWEMQC!B4,'Input-EWEMs'!E$12:E$41,0))&gt;0, TRUE, FALSE),"")</f>
        <v/>
      </c>
      <c r="E4" s="74" t="str">
        <f>IFERROR(IF(INDEX('Input-EWEMs'!AF$12:AF$41,MATCH(EWEMQC!B4,'Input-EWEMs'!E$12:E$41,0))&gt;0, TRUE, FALSE),"")</f>
        <v/>
      </c>
      <c r="F4" s="74" t="str">
        <f>IFERROR(IF(INDEX('Input-EWEMs'!AG$52:AG$61,MATCH(EWEMQC!B4,'Input-EWEMs'!E$52:E$61,0))&gt;0, TRUE, FALSE),"")</f>
        <v/>
      </c>
      <c r="G4" s="74" t="str">
        <f>IFERROR(IF(INDEX('Input-EWEMs'!AF$52:AF$61,MATCH(EWEMQC!B4,'Input-EWEMs'!E$52:E$61,0))&gt;0, TRUE, FALSE),"")</f>
        <v/>
      </c>
      <c r="H4" s="71" t="str">
        <f>IF(OR(E4=FALSE,G4=FALSE), "Energy savings from reducing DHW consumption have not been included. ", "")</f>
        <v/>
      </c>
      <c r="I4" s="71" t="str">
        <f>'Input-WaterCalc'!O13</f>
        <v/>
      </c>
      <c r="J4" s="71"/>
      <c r="K4" s="71"/>
      <c r="L4" s="72" t="str">
        <f t="shared" ref="L4:L10" si="0">H4&amp;I4&amp;J4&amp;K4</f>
        <v/>
      </c>
    </row>
    <row r="5" spans="1:12">
      <c r="A5" s="69" t="str">
        <f>IFERROR(INDEX('Input-EWEMs'!C$12:C$41,MATCH(EWEMQC!B5,'Input-EWEMs'!E$12:E$41,0)),"")</f>
        <v/>
      </c>
      <c r="B5" s="70" t="s">
        <v>182</v>
      </c>
      <c r="C5" s="69" t="s">
        <v>253</v>
      </c>
      <c r="D5" s="74" t="str">
        <f>IFERROR(IF(INDEX('Input-EWEMs'!AG$12:AG$41,MATCH(EWEMQC!B5,'Input-EWEMs'!E$12:E$41,0))&gt;0, TRUE, FALSE),"")</f>
        <v/>
      </c>
      <c r="E5" s="74" t="str">
        <f>IFERROR(IF(INDEX('Input-EWEMs'!AF$12:AF$41,MATCH(EWEMQC!B5,'Input-EWEMs'!E$12:E$41,0))&gt;0, TRUE, FALSE),"")</f>
        <v/>
      </c>
      <c r="F5" s="74" t="str">
        <f>IFERROR(IF(INDEX('Input-EWEMs'!AG$52:AG$61,MATCH(EWEMQC!B5,'Input-EWEMs'!E$52:E$61,0))&gt;0, TRUE, FALSE),"")</f>
        <v/>
      </c>
      <c r="G5" s="74" t="str">
        <f>IFERROR(IF(INDEX('Input-EWEMs'!AF$52:AF$61,MATCH(EWEMQC!B5,'Input-EWEMs'!E$52:E$61,0))&gt;0, TRUE, FALSE),"")</f>
        <v/>
      </c>
      <c r="H5" s="71" t="str">
        <f t="shared" ref="H5:H6" si="1">IF(OR(E5=FALSE,G5=FALSE), "Energy savings from reducing DHW consumption have not been included. ", "")</f>
        <v/>
      </c>
      <c r="I5" s="71" t="str">
        <f>'Input-WaterCalc'!O17</f>
        <v/>
      </c>
      <c r="J5" s="71"/>
      <c r="K5" s="71"/>
      <c r="L5" s="72" t="str">
        <f t="shared" si="0"/>
        <v/>
      </c>
    </row>
    <row r="6" spans="1:12">
      <c r="A6" s="69" t="str">
        <f>IFERROR(INDEX('Input-EWEMs'!C$12:C$41,MATCH(EWEMQC!B6,'Input-EWEMs'!E$12:E$41,0)),"")</f>
        <v/>
      </c>
      <c r="B6" s="70" t="s">
        <v>220</v>
      </c>
      <c r="C6" s="69" t="s">
        <v>253</v>
      </c>
      <c r="D6" s="74" t="str">
        <f>IFERROR(IF(INDEX('Input-EWEMs'!AG$12:AG$41,MATCH(EWEMQC!B6,'Input-EWEMs'!E$12:E$41,0))&gt;0, TRUE, FALSE),"")</f>
        <v/>
      </c>
      <c r="E6" s="74" t="str">
        <f>IFERROR(IF(INDEX('Input-EWEMs'!AF$12:AF$41,MATCH(EWEMQC!B6,'Input-EWEMs'!E$12:E$41,0))&gt;0, TRUE, FALSE),"")</f>
        <v/>
      </c>
      <c r="F6" s="74" t="str">
        <f>IFERROR(IF(INDEX('Input-EWEMs'!AG$52:AG$61,MATCH(EWEMQC!B6,'Input-EWEMs'!E$52:E$61,0))&gt;0, TRUE, FALSE),"")</f>
        <v/>
      </c>
      <c r="G6" s="74" t="str">
        <f>IFERROR(IF(INDEX('Input-EWEMs'!AF$52:AF$61,MATCH(EWEMQC!B6,'Input-EWEMs'!E$52:E$61,0))&gt;0, TRUE, FALSE),"")</f>
        <v/>
      </c>
      <c r="H6" s="71" t="str">
        <f t="shared" si="1"/>
        <v/>
      </c>
      <c r="I6" s="71" t="str">
        <f>IF(OR(I3&lt;&gt;"",I4&lt;&gt;"", I5&lt;&gt;""), "Some or all fixture assumptions are out of range - see Water Calculator. ", "")</f>
        <v/>
      </c>
      <c r="J6" s="71"/>
      <c r="K6" s="71"/>
      <c r="L6" s="72" t="str">
        <f t="shared" si="0"/>
        <v/>
      </c>
    </row>
    <row r="7" spans="1:12">
      <c r="A7" s="69" t="str">
        <f>IFERROR(INDEX('Input-EWEMs'!C$12:C$41,MATCH(EWEMQC!B7,'Input-EWEMs'!E$12:E$41,0)),"")</f>
        <v/>
      </c>
      <c r="B7" s="70" t="s">
        <v>130</v>
      </c>
      <c r="C7" s="75" t="s">
        <v>756</v>
      </c>
      <c r="D7" s="74" t="str">
        <f>IFERROR(IF(INDEX('Input-EWEMs'!AG$12:AG$41,MATCH(EWEMQC!B7,'Input-EWEMs'!E$12:E$41,0))&gt;0, TRUE, FALSE),"")</f>
        <v/>
      </c>
      <c r="E7" s="74" t="str">
        <f>IFERROR(IF(INDEX('Input-EWEMs'!AF$12:AF$41,MATCH(EWEMQC!B7,'Input-EWEMs'!E$12:E$41,0))&gt;0, TRUE, FALSE),"")</f>
        <v/>
      </c>
      <c r="F7" s="74" t="str">
        <f>IFERROR(IF(INDEX('Input-EWEMs'!AG$52:AG$61,MATCH(EWEMQC!B7,'Input-EWEMs'!E$52:E$61,0))&gt;0, TRUE, FALSE),"")</f>
        <v/>
      </c>
      <c r="G7" s="74" t="str">
        <f>IFERROR(IF(INDEX('Input-EWEMs'!AF$52:AF$61,MATCH(EWEMQC!B7,'Input-EWEMs'!E$52:E$61,0))&gt;0, TRUE, FALSE),"")</f>
        <v/>
      </c>
      <c r="H7" s="71" t="str">
        <f>IF(COUNTIF(D7:G7,FALSE)&gt;=1,"Savings do not include both energy and water. ","")</f>
        <v/>
      </c>
      <c r="I7" s="69" t="str">
        <f>'Input-WaterCalc'!O25</f>
        <v/>
      </c>
      <c r="J7" s="71"/>
      <c r="K7" s="71"/>
      <c r="L7" s="72" t="str">
        <f t="shared" si="0"/>
        <v/>
      </c>
    </row>
    <row r="8" spans="1:12">
      <c r="A8" s="69" t="str">
        <f>IFERROR(INDEX('Input-EWEMs'!C$12:C$41,MATCH(EWEMQC!B8,'Input-EWEMs'!E$12:E$41,0)),"")</f>
        <v/>
      </c>
      <c r="B8" s="70" t="s">
        <v>132</v>
      </c>
      <c r="C8" s="75" t="s">
        <v>756</v>
      </c>
      <c r="D8" s="74" t="str">
        <f>IFERROR(IF(INDEX('Input-EWEMs'!AG$12:AG$41,MATCH(EWEMQC!B8,'Input-EWEMs'!E$12:E$41,0))&gt;0, TRUE, FALSE),"")</f>
        <v/>
      </c>
      <c r="E8" s="74" t="str">
        <f>IFERROR(IF(INDEX('Input-EWEMs'!AF$12:AF$41,MATCH(EWEMQC!B8,'Input-EWEMs'!E$12:E$41,0))&gt;0, TRUE, FALSE),"")</f>
        <v/>
      </c>
      <c r="F8" s="74" t="str">
        <f>IFERROR(IF(INDEX('Input-EWEMs'!AG$52:AG$61,MATCH(EWEMQC!B8,'Input-EWEMs'!E$52:E$61,0))&gt;0, TRUE, FALSE),"")</f>
        <v/>
      </c>
      <c r="G8" s="74" t="str">
        <f>IFERROR(IF(INDEX('Input-EWEMs'!AF$52:AF$61,MATCH(EWEMQC!B8,'Input-EWEMs'!E$52:E$61,0))&gt;0, TRUE, FALSE),"")</f>
        <v/>
      </c>
      <c r="H8" s="71" t="str">
        <f>IF(COUNTIF(D8:G8,FALSE)&gt;=1,"Savings do not include both energy and water. ","")</f>
        <v/>
      </c>
      <c r="I8" s="71" t="str">
        <f>'Input-WaterCalc'!O21</f>
        <v/>
      </c>
      <c r="J8" s="71"/>
      <c r="K8" s="71"/>
      <c r="L8" s="72" t="str">
        <f t="shared" si="0"/>
        <v/>
      </c>
    </row>
    <row r="9" spans="1:12">
      <c r="A9" s="69" t="str">
        <f>IFERROR(INDEX('Input-EWEMs'!C$12:C$41,MATCH(EWEMQC!B9,'Input-EWEMs'!E$12:E$41,0)),"")</f>
        <v/>
      </c>
      <c r="B9" s="5" t="s">
        <v>175</v>
      </c>
      <c r="C9" s="75"/>
      <c r="H9" s="71" t="str">
        <f>IFERROR(IF(INDEX('Input-EWEMs'!G12:G61, MATCH(EWEMQC!B9,'Input-EWEMs'!E12:E61, 0))="Apartments", "Common area measure does not match location served. ",""),"")</f>
        <v/>
      </c>
      <c r="I9" s="171" t="str">
        <f>IFERROR(IF(AND(INDEX('Input-EWEMs'!N12:N61, MATCH(EWEMQC!B9,'Input-EWEMs'!E12:E61, 0))=0,'Input-Utilities'!E10&gt;0), "Owner cost savings are not included for common area lighting upgrade. ",""),"")</f>
        <v/>
      </c>
      <c r="L9" s="72" t="str">
        <f t="shared" si="0"/>
        <v/>
      </c>
    </row>
    <row r="10" spans="1:12">
      <c r="A10" s="69" t="str">
        <f>IFERROR(INDEX('Input-EWEMs'!C$12:C$41,MATCH(EWEMQC!B10,'Input-EWEMs'!E$12:E$41,0)),"")</f>
        <v/>
      </c>
      <c r="B10" s="5" t="s">
        <v>177</v>
      </c>
      <c r="C10" s="75"/>
      <c r="H10" s="69" t="str">
        <f>IFERROR(IF(INDEX('Input-EWEMs'!G12:G61, MATCH(EWEMQC!B10,'Input-EWEMs'!E12:E61, 0))="Common area", "In-unit measure does not match location served. ",""),"")</f>
        <v/>
      </c>
      <c r="I10" s="69" t="str">
        <f>IFERROR(IF(AND(INDEX('Input-EWEMs'!Q12:Q61, MATCH(EWEMQC!B10,'Input-EWEMs'!E12:E61, 0))=0,'Input-Utilities'!D31="Tenant"), "Tenant cost savings are not included for tenant-paid apartment lighting upgrade. ",""),"")</f>
        <v/>
      </c>
      <c r="L10" s="72" t="str">
        <f t="shared" si="0"/>
        <v/>
      </c>
    </row>
    <row r="11" spans="1:12">
      <c r="L11" s="72"/>
    </row>
    <row r="12" spans="1:12">
      <c r="B12" s="5"/>
    </row>
    <row r="13" spans="1:12">
      <c r="B13" s="5"/>
    </row>
    <row r="15" spans="1:12">
      <c r="B15" s="69" t="s">
        <v>440</v>
      </c>
      <c r="C15" s="69" t="s">
        <v>258</v>
      </c>
      <c r="D15" s="69" t="s">
        <v>445</v>
      </c>
    </row>
    <row r="16" spans="1:12">
      <c r="B16" s="70" t="s">
        <v>441</v>
      </c>
      <c r="C16" s="69" t="s">
        <v>446</v>
      </c>
      <c r="D16" s="72" t="str">
        <f>IF(OR('Input-EWEMs'!L42&gt;SUM('Input-Utilities'!D10:D12),'Lender Validation'!J72&gt;SUM('Input-Utilities'!D10:D12)),"Owner is projected to save more on energy costs than their historical spend. ","")</f>
        <v/>
      </c>
    </row>
    <row r="17" spans="2:4">
      <c r="B17" s="70" t="s">
        <v>442</v>
      </c>
      <c r="C17" s="69" t="s">
        <v>446</v>
      </c>
      <c r="D17" s="72" t="str">
        <f>IF(OR('Input-EWEMs'!M42&gt;'Input-Utilities'!D13,'Lender Validation'!K72&gt;'Input-Utilities'!D13),"Owner is projected to save more on water costs than their historical spend. ","")</f>
        <v/>
      </c>
    </row>
    <row r="18" spans="2:4">
      <c r="B18" s="70" t="s">
        <v>443</v>
      </c>
      <c r="C18" s="69" t="s">
        <v>446</v>
      </c>
      <c r="D18" s="72" t="str">
        <f>IF(OR('Input-EWEMs'!O42&gt;SUM('Input-Utilities'!G10:G12),'Lender Validation'!M72&gt;SUM('Input-Utilities'!G10:G12)),"Tenants are projected to save more on energy costs than their historical spend. ","")</f>
        <v/>
      </c>
    </row>
    <row r="19" spans="2:4">
      <c r="B19" s="70" t="s">
        <v>444</v>
      </c>
      <c r="C19" s="69" t="s">
        <v>446</v>
      </c>
      <c r="D19" s="72" t="str">
        <f>IF(OR('Input-EWEMs'!P42&gt;'Input-Utilities'!G13,'Lender Validation'!N72&gt;'Input-Utilities'!G13),"Tenants are projected to save more on water costs than their historical spend. ","")</f>
        <v/>
      </c>
    </row>
    <row r="20" spans="2:4">
      <c r="B20" s="5" t="s">
        <v>714</v>
      </c>
      <c r="C20" s="140" t="s">
        <v>713</v>
      </c>
      <c r="D20" s="168" t="str">
        <f>IF(SUMIF('Input-EWEMs'!D$12:D$41, "Domestic hot water heating",'Input-EWEMs'!AB$12:AB$41)&gt;'Input-Utilities'!G$44,"Energy savings from domestic hot water measures are greater than historical domestic hot water energy consumption. ","")</f>
        <v/>
      </c>
    </row>
    <row r="21" spans="2:4">
      <c r="B21" s="5" t="s">
        <v>715</v>
      </c>
      <c r="C21" s="140" t="s">
        <v>713</v>
      </c>
      <c r="D21" s="168" t="str">
        <f>IF(SUMIF('Input-EWEMs'!D$12:D$41, "Lighting",'Input-EWEMs'!AB$12:AB$41)&gt;'Input-Utilities'!H$44,"Energy savings from lighting measures are greater than historical lighting energy consumption. ","")</f>
        <v/>
      </c>
    </row>
    <row r="22" spans="2:4">
      <c r="B22" s="169" t="s">
        <v>754</v>
      </c>
      <c r="C22" s="170" t="s">
        <v>713</v>
      </c>
      <c r="D22" s="72" t="str">
        <f>IF(OR('Input-EWEMs'!AF42&gt;1, 'Lender Validation'!S72&gt;1), "EWEMs are projected to save more energy than historical consumption. ","")</f>
        <v/>
      </c>
    </row>
    <row r="23" spans="2:4">
      <c r="B23" s="169" t="s">
        <v>755</v>
      </c>
      <c r="C23" s="170" t="s">
        <v>713</v>
      </c>
      <c r="D23" s="72" t="str">
        <f>IF(OR('Input-EWEMs'!AG42&gt;1, 'Lender Validation'!T72&gt;1), "EWEMs are projected to save more water than historical consumption. ","")</f>
        <v/>
      </c>
    </row>
    <row r="24" spans="2:4">
      <c r="B24" s="5"/>
    </row>
    <row r="25" spans="2:4">
      <c r="B25" s="70"/>
    </row>
  </sheetData>
  <pageMargins left="0.7" right="0.7" top="0.75" bottom="0.75" header="0.3" footer="0.3"/>
  <pageSetup orientation="portrait"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autoPageBreaks="0"/>
  </sheetPr>
  <dimension ref="A1:R52"/>
  <sheetViews>
    <sheetView showGridLines="0" zoomScale="90" zoomScaleNormal="90" workbookViewId="0">
      <selection activeCell="I22" sqref="I22"/>
    </sheetView>
  </sheetViews>
  <sheetFormatPr defaultColWidth="9.28515625" defaultRowHeight="14.25"/>
  <cols>
    <col min="1" max="2" width="2.28515625" style="210" customWidth="1"/>
    <col min="3" max="3" width="16.7109375" style="210" customWidth="1"/>
    <col min="4" max="5" width="13.7109375" style="210" customWidth="1"/>
    <col min="6" max="6" width="16.28515625" style="210" customWidth="1"/>
    <col min="7" max="12" width="13.7109375" style="210" customWidth="1"/>
    <col min="13" max="13" width="3.28515625" style="210" customWidth="1"/>
    <col min="14" max="14" width="75" style="210" customWidth="1"/>
    <col min="15" max="16384" width="9.28515625" style="210"/>
  </cols>
  <sheetData>
    <row r="1" spans="1:18" s="187" customFormat="1" ht="23.25" customHeight="1">
      <c r="A1" s="188"/>
      <c r="B1" s="185" t="s">
        <v>367</v>
      </c>
      <c r="C1" s="186"/>
      <c r="D1" s="186"/>
      <c r="E1" s="186"/>
      <c r="F1" s="186"/>
      <c r="G1" s="186"/>
      <c r="H1" s="186"/>
      <c r="I1" s="186"/>
    </row>
    <row r="2" spans="1:18" s="187" customFormat="1" ht="15" customHeight="1">
      <c r="C2" s="207"/>
      <c r="D2" s="207"/>
      <c r="E2" s="207"/>
      <c r="F2" s="207"/>
      <c r="G2" s="207"/>
      <c r="H2" s="207"/>
      <c r="I2" s="207"/>
      <c r="J2" s="207"/>
      <c r="K2" s="207"/>
      <c r="L2" s="207"/>
    </row>
    <row r="3" spans="1:18" s="188" customFormat="1" ht="26.25">
      <c r="B3" s="208" t="s">
        <v>319</v>
      </c>
      <c r="G3" s="186"/>
    </row>
    <row r="4" spans="1:18" s="187" customFormat="1" ht="28.5" customHeight="1">
      <c r="A4" s="188"/>
      <c r="B4" s="871" t="s">
        <v>818</v>
      </c>
      <c r="C4" s="871"/>
      <c r="D4" s="871"/>
      <c r="E4" s="871"/>
      <c r="F4" s="871"/>
      <c r="G4" s="871"/>
      <c r="H4" s="871"/>
      <c r="I4" s="871"/>
      <c r="J4" s="871"/>
      <c r="K4" s="871"/>
      <c r="L4" s="871"/>
    </row>
    <row r="5" spans="1:18" ht="21" customHeight="1">
      <c r="B5" s="360"/>
      <c r="C5" s="360"/>
      <c r="D5" s="360"/>
      <c r="E5" s="360"/>
      <c r="F5" s="360"/>
      <c r="G5" s="186"/>
      <c r="H5" s="360"/>
      <c r="I5" s="360"/>
      <c r="N5" s="373"/>
    </row>
    <row r="6" spans="1:18" ht="18.75" thickBot="1">
      <c r="B6" s="328" t="s">
        <v>320</v>
      </c>
      <c r="C6" s="329"/>
      <c r="D6" s="329"/>
      <c r="E6" s="329"/>
      <c r="F6" s="329"/>
      <c r="G6" s="329"/>
      <c r="H6" s="329"/>
      <c r="I6" s="329"/>
      <c r="J6" s="329"/>
      <c r="K6" s="329"/>
      <c r="L6" s="329"/>
      <c r="N6" s="374"/>
    </row>
    <row r="7" spans="1:18" ht="17.25" customHeight="1">
      <c r="C7" s="375"/>
      <c r="D7" s="340"/>
      <c r="E7" s="340"/>
      <c r="F7" s="340"/>
      <c r="G7" s="340"/>
      <c r="H7" s="376"/>
      <c r="I7" s="377"/>
      <c r="J7" s="378"/>
      <c r="K7" s="378"/>
      <c r="L7" s="378"/>
      <c r="N7" s="374"/>
    </row>
    <row r="8" spans="1:18" ht="13.5" customHeight="1">
      <c r="C8" s="872" t="s">
        <v>28</v>
      </c>
      <c r="D8" s="874" t="s">
        <v>604</v>
      </c>
      <c r="E8" s="875"/>
      <c r="F8" s="876"/>
      <c r="G8" s="877" t="s">
        <v>605</v>
      </c>
      <c r="H8" s="878"/>
      <c r="I8" s="878"/>
      <c r="J8" s="877" t="s">
        <v>597</v>
      </c>
      <c r="K8" s="878"/>
      <c r="L8" s="879"/>
      <c r="N8" s="867" t="s">
        <v>301</v>
      </c>
    </row>
    <row r="9" spans="1:18" ht="24.75" customHeight="1" thickBot="1">
      <c r="C9" s="873"/>
      <c r="D9" s="379" t="s">
        <v>595</v>
      </c>
      <c r="E9" s="380" t="s">
        <v>596</v>
      </c>
      <c r="F9" s="381" t="s">
        <v>594</v>
      </c>
      <c r="G9" s="382" t="s">
        <v>595</v>
      </c>
      <c r="H9" s="383" t="s">
        <v>596</v>
      </c>
      <c r="I9" s="384" t="s">
        <v>594</v>
      </c>
      <c r="J9" s="379" t="s">
        <v>596</v>
      </c>
      <c r="K9" s="384" t="s">
        <v>594</v>
      </c>
      <c r="L9" s="385" t="s">
        <v>598</v>
      </c>
      <c r="N9" s="868" t="s">
        <v>301</v>
      </c>
      <c r="Q9" s="187"/>
      <c r="R9" s="187"/>
    </row>
    <row r="10" spans="1:18" ht="27" customHeight="1" thickTop="1">
      <c r="C10" s="386" t="s">
        <v>2</v>
      </c>
      <c r="D10" s="387"/>
      <c r="E10" s="388"/>
      <c r="F10" s="389" t="s">
        <v>21</v>
      </c>
      <c r="G10" s="390"/>
      <c r="H10" s="391"/>
      <c r="I10" s="389" t="s">
        <v>21</v>
      </c>
      <c r="J10" s="392">
        <f>SUM(E10,H10)</f>
        <v>0</v>
      </c>
      <c r="K10" s="393" t="s">
        <v>21</v>
      </c>
      <c r="L10" s="394">
        <f>IFERROR(J10*INDEX(Assumptions!$F$6:$F$22,MATCH('Input-Utilities'!F10,Assumptions!$C$6:$C$22,0))/1000,"")</f>
        <v>0</v>
      </c>
      <c r="N10" s="395" t="str">
        <f>IFERROR(IF(D10/E10&lt;'QC Ranges'!D3, "Owner "&amp;C10&amp;" rate (cost per "&amp;F10&amp;") is less than expected range. ", IF(D10/E10&gt;'QC Ranges'!E3, "Owner "&amp;C10&amp;" rate (cost per "&amp;F10&amp;") is greater than expected range. ", "")),"")&amp;IFERROR(IF(G10/H10&lt;'QC Ranges'!D3, "Tenant "&amp;C10&amp;" rate (cost per "&amp;F10&amp;") is less than expected range. ", IF(G10/H10&gt;'QC Ranges'!E3, "Tenant "&amp;C10&amp;" rate (cost per "&amp;F10&amp;") is greater than expected range. ", "")),"")</f>
        <v/>
      </c>
      <c r="Q10" s="187"/>
      <c r="R10" s="187"/>
    </row>
    <row r="11" spans="1:18" ht="24" customHeight="1">
      <c r="C11" s="396"/>
      <c r="D11" s="387"/>
      <c r="E11" s="388"/>
      <c r="F11" s="397"/>
      <c r="G11" s="390"/>
      <c r="H11" s="398"/>
      <c r="I11" s="399" t="str">
        <f>IF($F11="","",$F11)</f>
        <v/>
      </c>
      <c r="J11" s="392">
        <f t="shared" ref="J11:J13" si="0">SUM(E11,H11)</f>
        <v>0</v>
      </c>
      <c r="K11" s="400" t="str">
        <f>IF($F11="","",$F11)</f>
        <v/>
      </c>
      <c r="L11" s="394" t="str">
        <f>IFERROR(J11*INDEX(Assumptions!$F$6:$F$22,MATCH('Input-Utilities'!F11,Assumptions!$C$6:$C$22,0))/1000,"")</f>
        <v/>
      </c>
      <c r="N11" s="401" t="str">
        <f>IF(OR(C11="n/a", C11=""), "", IFERROR(IF(D11/(VLOOKUP($F11,Assumptions!$C$6:$I$21,2,FALSE)*E11)&lt;VLOOKUP(C11,'QC Ranges'!$B$4:$E$7,3, FALSE), "Owner "&amp;C11&amp;" rate (cost per "&amp;F11&amp;") is less than expected range. ", IF(D11/(VLOOKUP($F11,Assumptions!$C$6:$I$21,2,FALSE)*E11)&gt;VLOOKUP(C11,'QC Ranges'!$B$4:$E$7,4, FALSE), "Owner "&amp;C11&amp;" rate (cost per "&amp;F11&amp;") is greater than expected range. ", "")),"")&amp;IFERROR(IF(G11/(VLOOKUP($F11,Assumptions!$C$6:$I$21,2,FALSE)*H11)&lt;VLOOKUP(C11,'QC Ranges'!$B$4:$E$7,3, FALSE), "Tenant "&amp;C11&amp;" rate (cost per "&amp;F11&amp;") is less than expected range. ", IF(G11/(VLOOKUP($F11,Assumptions!$C$6:$I$21,2,FALSE)*H11)&gt;VLOOKUP(C11,'QC Ranges'!$B$4:$E$7,4, FALSE), "Tenant "&amp;C11&amp;" rate (cost per "&amp;F11&amp;") is greater than expected range. ", "")),""))&amp;IF(OR(F11="",AND(OR(C11="",C11="n/a"),F11="n/a")),"",IF(IFERROR(INDEX(Assumptions!B$6:B$28,MATCH('Input-Utilities'!F11,Assumptions!C$6:C$28,0))&lt;&gt;C11,TRUE),"Unit of consumption does not match utility type. ",""))</f>
        <v/>
      </c>
      <c r="Q11" s="187"/>
      <c r="R11" s="187"/>
    </row>
    <row r="12" spans="1:18" ht="27" customHeight="1">
      <c r="C12" s="396"/>
      <c r="D12" s="387"/>
      <c r="E12" s="388"/>
      <c r="F12" s="397"/>
      <c r="G12" s="390"/>
      <c r="H12" s="398"/>
      <c r="I12" s="399" t="str">
        <f t="shared" ref="I12:I13" si="1">IF($F12="","",$F12)</f>
        <v/>
      </c>
      <c r="J12" s="392">
        <f t="shared" si="0"/>
        <v>0</v>
      </c>
      <c r="K12" s="400" t="str">
        <f t="shared" ref="K12" si="2">IF($F12="","",$F12)</f>
        <v/>
      </c>
      <c r="L12" s="394" t="str">
        <f>IFERROR(J12*INDEX(Assumptions!$F$6:$F$22,MATCH('Input-Utilities'!F12,Assumptions!$C$6:$C$22,0))/1000,"")</f>
        <v/>
      </c>
      <c r="N12" s="401" t="str">
        <f>IF(OR(C12="n/a", C12=""), "", IFERROR(IF(D12/(VLOOKUP($F12,Assumptions!$C$6:$I$21,2,FALSE)*E12)&lt;VLOOKUP(C12,'QC Ranges'!$B$4:$E$7,3, FALSE), "Owner "&amp;C12&amp;" rate (cost per "&amp;F12&amp;") is less than expected range. ", IF(D12/(VLOOKUP($F12,Assumptions!$C$6:$I$21,2,FALSE)*E12)&gt;VLOOKUP(C12,'QC Ranges'!$B$4:$E$7,4, FALSE), "Owner "&amp;C12&amp;" rate (cost per "&amp;F12&amp;") is greater than expected range. ", "")),"")&amp;IFERROR(IF(G12/(VLOOKUP($F12,Assumptions!$C$6:$I$21,2,FALSE)*H12)&lt;VLOOKUP(C12,'QC Ranges'!$B$4:$E$7,3, FALSE), "Tenant "&amp;C12&amp;" rate (cost per "&amp;F12&amp;") is less than expected range. ", IF(G12/(VLOOKUP($F12,Assumptions!$C$6:$I$21,2,FALSE)*H12)&gt;VLOOKUP(C12,'QC Ranges'!$B$4:$E$7,4, FALSE), "Tenant "&amp;C12&amp;" rate (cost per "&amp;F12&amp;") is greater than expected range. ", "")),""))&amp;IF(OR(F12="",AND(OR(C12="",C12="n/a"),F12="n/a")),"",IF(IFERROR(INDEX(Assumptions!B$6:B$28,MATCH('Input-Utilities'!F12,Assumptions!C$6:C$28,0))&lt;&gt;C12,TRUE),"Unit of consumption does not match utility type. ",""))</f>
        <v/>
      </c>
      <c r="Q12" s="187"/>
      <c r="R12" s="187"/>
    </row>
    <row r="13" spans="1:18" ht="26.25" customHeight="1">
      <c r="C13" s="402" t="s">
        <v>25</v>
      </c>
      <c r="D13" s="387"/>
      <c r="E13" s="403"/>
      <c r="F13" s="404"/>
      <c r="G13" s="405"/>
      <c r="H13" s="406"/>
      <c r="I13" s="407" t="str">
        <f t="shared" si="1"/>
        <v/>
      </c>
      <c r="J13" s="392">
        <f t="shared" si="0"/>
        <v>0</v>
      </c>
      <c r="K13" s="408" t="str">
        <f>IF($F13="","",$F13)</f>
        <v/>
      </c>
      <c r="L13" s="409" t="s">
        <v>23</v>
      </c>
      <c r="N13" s="410" t="str">
        <f>IFERROR(IF(D13/(VLOOKUP($F13,Assumptions!$C$24:$I$27,2,FALSE)*E13)&lt;'QC Ranges'!D8, "Owner "&amp;C13&amp;" rate (cost per "&amp;F13&amp;") is less than expected range. ", IF(D13/(VLOOKUP($F13,Assumptions!$C$24:$I$27,2,FALSE)*E13)&gt;'QC Ranges'!E8, "Owner "&amp;C13&amp;" rate (cost per "&amp;F13&amp;") is greater than expected range. ", "")),"")&amp;IFERROR(IF(G13/(VLOOKUP($F13,Assumptions!$C$24:$I$27,2,FALSE)*H13)&lt;'QC Ranges'!D8, "Tenant "&amp;C13&amp;" rate (cost per "&amp;F13&amp;") is less than expected range. ", IF(G13/(VLOOKUP($F13,Assumptions!$C$24:$I$27,2,FALSE)*H13)&gt;'QC Ranges'!E8, "Tenant "&amp;C13&amp;" rate (cost per "&amp;F13&amp;") is greater than expected range. ", "")),"")</f>
        <v/>
      </c>
      <c r="Q13" s="187"/>
      <c r="R13" s="187"/>
    </row>
    <row r="14" spans="1:18" ht="19.5" customHeight="1">
      <c r="C14" s="411"/>
      <c r="D14" s="412">
        <f>SUM(D10:D13)</f>
        <v>0</v>
      </c>
      <c r="E14" s="413"/>
      <c r="F14" s="414"/>
      <c r="G14" s="415">
        <f>SUM(G10:G13)</f>
        <v>0</v>
      </c>
      <c r="H14" s="413"/>
      <c r="I14" s="416"/>
      <c r="J14" s="869" t="s">
        <v>599</v>
      </c>
      <c r="K14" s="870"/>
      <c r="L14" s="417">
        <f>SUM(L10:L12)</f>
        <v>0</v>
      </c>
      <c r="N14" s="410" t="str">
        <f>IFERROR(IF(G14/'Input-Property'!D42/12&gt;'QC Ranges'!E9, "Average monthly tenant utility bill is $"&amp;MROUND(G14/'Input-Property'!D42/12,1)&amp;" per unit. ",""),"")</f>
        <v/>
      </c>
      <c r="Q14" s="187"/>
      <c r="R14" s="187"/>
    </row>
    <row r="15" spans="1:18" ht="19.5" customHeight="1">
      <c r="C15" s="418"/>
      <c r="D15" s="419"/>
      <c r="E15" s="420"/>
      <c r="F15" s="421"/>
      <c r="G15" s="422"/>
      <c r="J15" s="869" t="s">
        <v>683</v>
      </c>
      <c r="K15" s="870"/>
      <c r="L15" s="417" t="str">
        <f>IFERROR(J13*INDEX(Assumptions!$D$24:$D$27,MATCH('Input-Utilities'!F13,Assumptions!$C$24:$C$27,0))/1000,"")</f>
        <v/>
      </c>
      <c r="N15" s="423"/>
    </row>
    <row r="16" spans="1:18" ht="19.5" customHeight="1">
      <c r="C16" s="424" t="s">
        <v>631</v>
      </c>
      <c r="D16" s="419"/>
      <c r="F16" s="421"/>
      <c r="G16" s="422"/>
      <c r="N16" s="423"/>
    </row>
    <row r="17" spans="2:14" ht="26.25" customHeight="1" thickBot="1">
      <c r="C17" s="425" t="s">
        <v>625</v>
      </c>
      <c r="D17" s="426" t="s">
        <v>627</v>
      </c>
      <c r="E17" s="851" t="s">
        <v>633</v>
      </c>
      <c r="F17" s="852"/>
      <c r="G17" s="851" t="s">
        <v>628</v>
      </c>
      <c r="H17" s="852"/>
      <c r="I17" s="851" t="s">
        <v>626</v>
      </c>
      <c r="J17" s="852"/>
      <c r="N17" s="423"/>
    </row>
    <row r="18" spans="2:14" ht="27" customHeight="1" thickTop="1">
      <c r="C18" s="427"/>
      <c r="D18" s="428"/>
      <c r="E18" s="429"/>
      <c r="F18" s="430" t="s">
        <v>632</v>
      </c>
      <c r="G18" s="429"/>
      <c r="H18" s="430" t="s">
        <v>21</v>
      </c>
      <c r="I18" s="431"/>
      <c r="J18" s="430" t="s">
        <v>21</v>
      </c>
      <c r="N18" s="423"/>
    </row>
    <row r="19" spans="2:14" ht="26.25" customHeight="1">
      <c r="C19" s="418"/>
      <c r="D19" s="419"/>
      <c r="E19" s="420"/>
      <c r="F19" s="421"/>
      <c r="J19" s="432"/>
      <c r="K19" s="433"/>
      <c r="L19" s="434"/>
      <c r="N19" s="423"/>
    </row>
    <row r="20" spans="2:14" ht="19.5" customHeight="1" thickBot="1">
      <c r="B20" s="328" t="s">
        <v>619</v>
      </c>
      <c r="C20" s="435"/>
      <c r="D20" s="436"/>
      <c r="E20" s="437"/>
      <c r="F20" s="438"/>
      <c r="G20" s="439"/>
      <c r="H20" s="329"/>
      <c r="I20" s="329"/>
      <c r="J20" s="440"/>
      <c r="K20" s="440"/>
      <c r="L20" s="441"/>
      <c r="N20" s="423"/>
    </row>
    <row r="21" spans="2:14" ht="19.5" customHeight="1">
      <c r="C21" s="418"/>
      <c r="D21" s="419"/>
      <c r="E21" s="420"/>
      <c r="F21" s="421"/>
      <c r="J21" s="433"/>
      <c r="K21" s="434"/>
      <c r="M21" s="423"/>
    </row>
    <row r="22" spans="2:14" ht="38.25" customHeight="1" thickBot="1">
      <c r="C22" s="442" t="s">
        <v>28</v>
      </c>
      <c r="D22" s="443" t="s">
        <v>593</v>
      </c>
      <c r="E22" s="444" t="s">
        <v>587</v>
      </c>
      <c r="F22" s="445" t="s">
        <v>609</v>
      </c>
      <c r="G22" s="880" t="s">
        <v>684</v>
      </c>
      <c r="H22" s="881"/>
      <c r="M22" s="423"/>
      <c r="N22" s="363" t="s">
        <v>301</v>
      </c>
    </row>
    <row r="23" spans="2:14" ht="34.15" customHeight="1" thickTop="1">
      <c r="C23" s="446" t="s">
        <v>2</v>
      </c>
      <c r="D23" s="447"/>
      <c r="E23" s="448" t="str">
        <f t="shared" ref="E23:E26" si="3">IF(OR(D23="Separately metered", D23=""),"",IF(D23="n/a","n/a","Whole property aggregate"))</f>
        <v/>
      </c>
      <c r="F23" s="449"/>
      <c r="G23" s="882"/>
      <c r="H23" s="883"/>
      <c r="M23" s="423"/>
      <c r="N23" s="450" t="str">
        <f>IF(AND(OR(D23="n/a",E23="n/a"),G10&gt;0),"Tenant billing method and tenant data source must be provided if there are tenant-paid utilities. ","")&amp;IF(AND(G10=0,OR(AND(D23&lt;&gt;"n/a",D23&lt;&gt;""),AND(E23&lt;&gt;"n/a",E23&lt;&gt;""))), "Tenant billing method or data source provided when no tenant costs were provided. ","")&amp;IF(OR(D23="",D23="n/a",D23="Separately metered"),"",IF(AND(E23&lt;&gt;"Whole property aggregate",E23&lt;&gt;""),"Owner must provide complete utility bill data if tenants are not separately metered. ",""))&amp;IF(F23="","",IF(F23&lt;Assumptions!$C$86,"Number of accounts sampled is below minimum required sample size. ",""))</f>
        <v/>
      </c>
    </row>
    <row r="24" spans="2:14" ht="34.15" customHeight="1">
      <c r="C24" s="451">
        <f>C11</f>
        <v>0</v>
      </c>
      <c r="D24" s="452"/>
      <c r="E24" s="448" t="str">
        <f t="shared" si="3"/>
        <v/>
      </c>
      <c r="F24" s="453"/>
      <c r="G24" s="884"/>
      <c r="H24" s="885"/>
      <c r="M24" s="423"/>
      <c r="N24" s="450" t="str">
        <f>IF(AND(OR(D24="n/a",E24="n/a"),G11&gt;0),"Tenant billing method and tenant data source must be provided if there are tenant-paid utilities. ","")&amp;IF(AND(G11=0,OR(AND(D24&lt;&gt;"n/a",D24&lt;&gt;""),AND(E24&lt;&gt;"n/a",E24&lt;&gt;""))), "Tenant billing method or data source provided when no tenant costs were provided. ","")&amp;IF(OR(D24="",D24="n/a",D24="Separately metered"),"",IF(AND(E24&lt;&gt;"Whole property aggregate",E24&lt;&gt;""),"Owner must provide complete utility bill data if tenants are not separately metered. ",""))&amp;IF(F24="","",IF(F24&lt;Assumptions!$C$86,"Number of accounts sampled is below minimum required sample size. ",""))</f>
        <v/>
      </c>
    </row>
    <row r="25" spans="2:14" ht="34.15" customHeight="1">
      <c r="C25" s="451">
        <f>C12</f>
        <v>0</v>
      </c>
      <c r="D25" s="452"/>
      <c r="E25" s="448" t="str">
        <f t="shared" si="3"/>
        <v/>
      </c>
      <c r="F25" s="453"/>
      <c r="G25" s="884"/>
      <c r="H25" s="885"/>
      <c r="M25" s="423"/>
      <c r="N25" s="450" t="str">
        <f>IF(AND(OR(D25="n/a",E25="n/a"),G12&gt;0),"Tenant billing method and tenant data source must be provided if there are tenant-paid utilities. ","")&amp;IF(AND(G12=0,OR(AND(D25&lt;&gt;"n/a",D25&lt;&gt;""),AND(E25&lt;&gt;"n/a",E25&lt;&gt;""))), "Tenant billing method or data source provided when no tenant costs were provided. ","")&amp;IF(OR(D25="",D25="n/a",D25="Separately metered"),"",IF(AND(E25&lt;&gt;"Whole property aggregate",E25&lt;&gt;""),"Owner must provide complete utility bill data if tenants are not separately metered. ",""))&amp;IF(F25="","",IF(F25&lt;Assumptions!$C$86,"Number of accounts sampled is below minimum required sample size. ",""))</f>
        <v/>
      </c>
    </row>
    <row r="26" spans="2:14" ht="34.15" customHeight="1">
      <c r="C26" s="454" t="s">
        <v>25</v>
      </c>
      <c r="D26" s="455"/>
      <c r="E26" s="456" t="str">
        <f t="shared" si="3"/>
        <v/>
      </c>
      <c r="F26" s="457"/>
      <c r="G26" s="886"/>
      <c r="H26" s="887"/>
      <c r="M26" s="423"/>
      <c r="N26" s="458" t="str">
        <f>IF(AND(OR(D26="n/a",E26="n/a"),G13&gt;0),"Tenant billing method and tenant data source must be provided if there are tenant-paid utilities. ","")&amp;IF(AND(G13=0,OR(AND(D26&lt;&gt;"n/a",D26&lt;&gt;""),AND(E26&lt;&gt;"n/a",E26&lt;&gt;""))), "Tenant billing method or data source provided when no tenant costs were provided. ","")&amp;IF(OR(D26="",D26="n/a",D26="Separately metered"),"",IF(AND(E26&lt;&gt;"Whole property aggregate",E26&lt;&gt;""),"Owner must provide complete utility bill data if tenants are not separately metered. ",""))&amp;IF(F26="","",IF(F26&lt;Assumptions!$C$86,"Number of accounts sampled is below minimum required sample size. ",""))</f>
        <v/>
      </c>
    </row>
    <row r="27" spans="2:14" ht="18" customHeight="1">
      <c r="C27" s="459"/>
      <c r="D27" s="460"/>
      <c r="E27" s="461"/>
      <c r="F27" s="462"/>
      <c r="G27" s="462"/>
      <c r="H27" s="187"/>
      <c r="I27" s="463"/>
      <c r="J27" s="464"/>
      <c r="K27" s="465"/>
      <c r="M27" s="423"/>
      <c r="N27" s="466"/>
    </row>
    <row r="28" spans="2:14" ht="27" customHeight="1" thickBot="1">
      <c r="C28" s="442" t="s">
        <v>618</v>
      </c>
      <c r="D28" s="467" t="s">
        <v>690</v>
      </c>
      <c r="E28" s="468" t="s">
        <v>617</v>
      </c>
      <c r="F28" s="469" t="s">
        <v>732</v>
      </c>
      <c r="G28" s="462"/>
      <c r="H28" s="187"/>
      <c r="I28" s="187"/>
      <c r="J28" s="187"/>
      <c r="K28" s="187"/>
      <c r="L28" s="187"/>
      <c r="M28" s="423"/>
      <c r="N28" s="363" t="s">
        <v>301</v>
      </c>
    </row>
    <row r="29" spans="2:14" ht="27" customHeight="1" thickTop="1">
      <c r="C29" s="470" t="s">
        <v>620</v>
      </c>
      <c r="D29" s="471"/>
      <c r="E29" s="472"/>
      <c r="F29" s="473"/>
      <c r="G29" s="462"/>
      <c r="H29" s="187"/>
      <c r="I29" s="187"/>
      <c r="J29" s="187"/>
      <c r="K29" s="187"/>
      <c r="L29" s="187"/>
      <c r="M29" s="423"/>
      <c r="N29" s="450" t="str">
        <f>IFERROR(IF(AND(INDEX(G$10:G$12,MATCH(E29,C$10:C$12,0))=0,OR(D29="Tenant",D29="Mixed")),"Utility payer does not match tenant costs in historical costs provided above. ",""),"")&amp;IFERROR(IF(AND(INDEX(D$10:D$12,MATCH(E29,C$10:C$12,0))=0,OR(D29="Owner",D29="Mixed")),"Utility payer does not match owner costs in historical costs provided above. ",""),"")</f>
        <v/>
      </c>
    </row>
    <row r="30" spans="2:14" ht="27" customHeight="1">
      <c r="C30" s="474" t="s">
        <v>735</v>
      </c>
      <c r="D30" s="475"/>
      <c r="E30" s="476"/>
      <c r="F30" s="477"/>
      <c r="G30" s="462"/>
      <c r="H30" s="187"/>
      <c r="I30" s="187"/>
      <c r="J30" s="187"/>
      <c r="K30" s="187"/>
      <c r="L30" s="187"/>
      <c r="M30" s="423"/>
      <c r="N30" s="478" t="str">
        <f t="shared" ref="N30:N32" si="4">IFERROR(IF(AND(INDEX(G$10:G$12,MATCH(E30,C$10:C$12,0))=0,OR(D30="Tenant",D30="Mixed")),"Utility payer does not match tenant costs in historical costs provided above. ",""),"")&amp;IFERROR(IF(AND(INDEX(D$10:D$12,MATCH(E30,C$10:C$12,0))=0,OR(D30="Owner",D30="Mixed")),"Utility payer does not match owner costs in historical costs provided above. ",""),"")</f>
        <v/>
      </c>
    </row>
    <row r="31" spans="2:14" ht="27" customHeight="1">
      <c r="C31" s="474" t="s">
        <v>621</v>
      </c>
      <c r="D31" s="475"/>
      <c r="E31" s="479" t="s">
        <v>2</v>
      </c>
      <c r="F31" s="480"/>
      <c r="G31" s="462"/>
      <c r="H31" s="187"/>
      <c r="I31" s="187"/>
      <c r="J31" s="187"/>
      <c r="K31" s="187"/>
      <c r="L31" s="187"/>
      <c r="M31" s="423"/>
      <c r="N31" s="478" t="str">
        <f>IFERROR(IF(AND(INDEX(G$10:G$12,MATCH(E31,C$10:C$12,0))=0,OR(D31="Tenant",D31="Mixed")),"Utility payer does not match tenant costs in historical costs provided above. ",""),"")&amp;IFERROR(IF(AND(INDEX(D$10:D$12,MATCH(E31,C$10:C$12,0))=0,OR(D31="Owner",D31="Mixed")),"Utility payer does not match owner costs in historical costs provided above. ",""),"")</f>
        <v/>
      </c>
    </row>
    <row r="32" spans="2:14" ht="27" customHeight="1">
      <c r="C32" s="481" t="s">
        <v>622</v>
      </c>
      <c r="D32" s="482"/>
      <c r="E32" s="483"/>
      <c r="F32" s="484" t="s">
        <v>753</v>
      </c>
      <c r="G32" s="462"/>
      <c r="H32" s="187"/>
      <c r="I32" s="187"/>
      <c r="J32" s="187"/>
      <c r="K32" s="187"/>
      <c r="L32" s="187"/>
      <c r="M32" s="423"/>
      <c r="N32" s="458" t="str">
        <f t="shared" si="4"/>
        <v/>
      </c>
    </row>
    <row r="33" spans="2:14" ht="28.5" customHeight="1">
      <c r="C33" s="418"/>
      <c r="D33" s="419"/>
      <c r="E33" s="420"/>
      <c r="F33" s="421"/>
      <c r="G33" s="422"/>
      <c r="H33" s="433"/>
      <c r="I33" s="433"/>
      <c r="J33" s="433"/>
      <c r="K33" s="433"/>
      <c r="L33" s="433"/>
      <c r="N33" s="423"/>
    </row>
    <row r="34" spans="2:14" ht="18.75" thickBot="1">
      <c r="B34" s="328" t="s">
        <v>612</v>
      </c>
      <c r="C34" s="329"/>
      <c r="D34" s="329"/>
      <c r="E34" s="329"/>
      <c r="F34" s="329"/>
      <c r="G34" s="329"/>
      <c r="H34" s="329"/>
      <c r="I34" s="329"/>
      <c r="J34" s="329"/>
      <c r="K34" s="329"/>
      <c r="L34" s="329"/>
      <c r="N34" s="423"/>
    </row>
    <row r="35" spans="2:14" ht="30" customHeight="1">
      <c r="B35" s="853" t="s">
        <v>396</v>
      </c>
      <c r="C35" s="853"/>
      <c r="D35" s="853"/>
      <c r="E35" s="853"/>
      <c r="F35" s="853"/>
      <c r="G35" s="853"/>
      <c r="H35" s="853"/>
      <c r="I35" s="853"/>
      <c r="J35" s="853"/>
      <c r="K35" s="853"/>
      <c r="L35" s="853"/>
      <c r="N35" s="423"/>
    </row>
    <row r="36" spans="2:14" ht="29.25" customHeight="1">
      <c r="B36" s="853" t="s">
        <v>624</v>
      </c>
      <c r="C36" s="853"/>
      <c r="D36" s="853"/>
      <c r="E36" s="853"/>
      <c r="F36" s="853"/>
      <c r="G36" s="853"/>
      <c r="H36" s="853"/>
      <c r="I36" s="853"/>
      <c r="J36" s="853"/>
      <c r="K36" s="853"/>
      <c r="L36" s="853"/>
      <c r="N36" s="423"/>
    </row>
    <row r="37" spans="2:14" ht="10.5" customHeight="1">
      <c r="B37" s="360"/>
      <c r="D37" s="420"/>
      <c r="E37" s="420"/>
      <c r="F37" s="420"/>
      <c r="G37" s="485"/>
      <c r="H37" s="486"/>
      <c r="I37" s="360"/>
      <c r="N37" s="423"/>
    </row>
    <row r="38" spans="2:14" ht="16.5" customHeight="1">
      <c r="B38" s="360"/>
      <c r="D38" s="857" t="s">
        <v>613</v>
      </c>
      <c r="E38" s="857"/>
      <c r="F38" s="858"/>
      <c r="G38" s="857" t="s">
        <v>615</v>
      </c>
      <c r="H38" s="857"/>
      <c r="I38" s="857"/>
      <c r="N38" s="423"/>
    </row>
    <row r="39" spans="2:14" ht="30.75" customHeight="1" thickBot="1">
      <c r="B39" s="487"/>
      <c r="C39" s="425" t="s">
        <v>28</v>
      </c>
      <c r="D39" s="488" t="s">
        <v>26</v>
      </c>
      <c r="E39" s="488" t="s">
        <v>29</v>
      </c>
      <c r="F39" s="489" t="s">
        <v>30</v>
      </c>
      <c r="G39" s="490" t="s">
        <v>614</v>
      </c>
      <c r="H39" s="488" t="s">
        <v>48</v>
      </c>
      <c r="I39" s="385" t="s">
        <v>49</v>
      </c>
      <c r="J39" s="385" t="s">
        <v>19</v>
      </c>
      <c r="K39" s="865" t="s">
        <v>616</v>
      </c>
      <c r="L39" s="866"/>
      <c r="N39" s="363" t="s">
        <v>301</v>
      </c>
    </row>
    <row r="40" spans="2:14" ht="22.5" customHeight="1" thickTop="1">
      <c r="B40" s="360"/>
      <c r="C40" s="446" t="s">
        <v>2</v>
      </c>
      <c r="D40" s="491"/>
      <c r="E40" s="491"/>
      <c r="F40" s="492" t="s">
        <v>23</v>
      </c>
      <c r="G40" s="493"/>
      <c r="H40" s="494"/>
      <c r="I40" s="495"/>
      <c r="J40" s="496" t="s">
        <v>21</v>
      </c>
      <c r="K40" s="859"/>
      <c r="L40" s="860"/>
      <c r="N40" s="450" t="str">
        <f>IF(AND(D40="",E40="",G40="",H40="",I40=""),"",IFERROR(IF(ABS(J10-SUM(D40:I40))/J10&gt;0.05, "Total consumption conflicts with historical consumption above.", ""),""))</f>
        <v/>
      </c>
    </row>
    <row r="41" spans="2:14" ht="22.5" customHeight="1">
      <c r="B41" s="360"/>
      <c r="C41" s="451">
        <f>C11</f>
        <v>0</v>
      </c>
      <c r="D41" s="497"/>
      <c r="E41" s="497"/>
      <c r="F41" s="498" t="s">
        <v>23</v>
      </c>
      <c r="G41" s="493"/>
      <c r="H41" s="499" t="s">
        <v>23</v>
      </c>
      <c r="I41" s="500"/>
      <c r="J41" s="501">
        <f>F11</f>
        <v>0</v>
      </c>
      <c r="K41" s="861"/>
      <c r="L41" s="862"/>
      <c r="N41" s="478" t="str">
        <f>IF(AND(D41="",E41="",G41="",I41=""),"",IFERROR(IF(ABS(J11-SUM(D41:I41))/J11&gt;0.05, "Total consumption conflicts with historical consumption above.", ""),""))</f>
        <v/>
      </c>
    </row>
    <row r="42" spans="2:14" ht="22.5" customHeight="1">
      <c r="B42" s="360"/>
      <c r="C42" s="451">
        <f>C12</f>
        <v>0</v>
      </c>
      <c r="D42" s="497"/>
      <c r="E42" s="497"/>
      <c r="F42" s="498" t="s">
        <v>23</v>
      </c>
      <c r="G42" s="493"/>
      <c r="H42" s="499" t="s">
        <v>23</v>
      </c>
      <c r="I42" s="500"/>
      <c r="J42" s="501">
        <f>F12</f>
        <v>0</v>
      </c>
      <c r="K42" s="861"/>
      <c r="L42" s="862"/>
      <c r="N42" s="478" t="str">
        <f>IF(AND(D42="",E42="",G42="",I42=""),"",IFERROR(IF(ABS(J12-SUM(D42:I42))/J12&gt;0.05, "Total consumption conflicts with historical consumption above.", ""),""))</f>
        <v/>
      </c>
    </row>
    <row r="43" spans="2:14" ht="22.5" customHeight="1">
      <c r="B43" s="360"/>
      <c r="C43" s="454" t="s">
        <v>25</v>
      </c>
      <c r="D43" s="502" t="s">
        <v>23</v>
      </c>
      <c r="E43" s="502" t="s">
        <v>23</v>
      </c>
      <c r="F43" s="503"/>
      <c r="G43" s="504" t="s">
        <v>23</v>
      </c>
      <c r="H43" s="502" t="s">
        <v>23</v>
      </c>
      <c r="I43" s="503"/>
      <c r="J43" s="505">
        <f>F13</f>
        <v>0</v>
      </c>
      <c r="K43" s="863"/>
      <c r="L43" s="864"/>
      <c r="N43" s="458" t="str">
        <f>IF(AND(F43="",I43=""),"",IFERROR(IF(ABS(J13-SUM(F43,I43))/J13&gt;0.05, "Total consumption conflicts with historical consumption above. ", ""),""))</f>
        <v/>
      </c>
    </row>
    <row r="44" spans="2:14" ht="22.5" customHeight="1">
      <c r="B44" s="360"/>
      <c r="C44" s="506" t="s">
        <v>603</v>
      </c>
      <c r="D44" s="507">
        <f>SUM('DB-Utilities'!S2:S4)</f>
        <v>0</v>
      </c>
      <c r="E44" s="507">
        <f>SUM('DB-Utilities'!T2:T4)</f>
        <v>0</v>
      </c>
      <c r="F44" s="508" t="s">
        <v>23</v>
      </c>
      <c r="G44" s="509">
        <f>SUM('DB-Utilities'!V2:V4)</f>
        <v>0</v>
      </c>
      <c r="H44" s="510">
        <f>SUM('DB-Utilities'!W2:W4)</f>
        <v>0</v>
      </c>
      <c r="I44" s="511">
        <f>SUM('DB-Utilities'!Z2:Z4)</f>
        <v>0</v>
      </c>
      <c r="J44" s="512" t="s">
        <v>224</v>
      </c>
    </row>
    <row r="45" spans="2:14" ht="27" customHeight="1">
      <c r="N45" s="374"/>
    </row>
    <row r="46" spans="2:14" ht="18.75" thickBot="1">
      <c r="B46" s="328" t="s">
        <v>288</v>
      </c>
      <c r="C46" s="329"/>
      <c r="D46" s="329"/>
      <c r="E46" s="329"/>
      <c r="F46" s="329"/>
      <c r="G46" s="329"/>
      <c r="H46" s="329"/>
      <c r="I46" s="329"/>
      <c r="J46" s="329"/>
      <c r="K46" s="329"/>
      <c r="L46" s="329"/>
    </row>
    <row r="47" spans="2:14" ht="17.25" customHeight="1">
      <c r="C47" s="375"/>
      <c r="H47" s="513"/>
      <c r="I47" s="378"/>
      <c r="J47" s="378"/>
      <c r="K47" s="378"/>
      <c r="L47" s="378"/>
      <c r="N47" s="374"/>
    </row>
    <row r="48" spans="2:14" ht="35.65" customHeight="1" thickBot="1">
      <c r="C48" s="514" t="s">
        <v>300</v>
      </c>
      <c r="D48" s="515" t="s">
        <v>277</v>
      </c>
      <c r="E48" s="516" t="s">
        <v>285</v>
      </c>
      <c r="F48" s="515" t="s">
        <v>501</v>
      </c>
      <c r="G48" s="516" t="s">
        <v>476</v>
      </c>
      <c r="H48" s="514" t="s">
        <v>418</v>
      </c>
      <c r="N48" s="363" t="s">
        <v>301</v>
      </c>
    </row>
    <row r="49" spans="3:14" ht="17.25" customHeight="1" thickTop="1">
      <c r="C49" s="368"/>
      <c r="D49" s="517"/>
      <c r="E49" s="518"/>
      <c r="F49" s="517"/>
      <c r="G49" s="518"/>
      <c r="H49" s="519"/>
      <c r="N49" s="854" t="str">
        <f>IF(AND(C49&lt;&gt;"",OR(C49&lt;1000000,C49&gt;9999999)),"Portfolio Manager Property ID must be a 7-digit number (available on SEP and in Portfolio Manager). ","")&amp;
IF(AND(D49&lt;&gt;"",OR(D49&lt;1,D49&gt;100)), "ENERGY STAR Score is not a valid 1-100 score. ","")&amp;
IFERROR(IF(ABS((E49-(L14/'Input-Property'!D32))/E49)&gt;0.2, "Reported Source EUI is significantly different from source EUI calculated from inputs in this workbook. ",""),"")&amp;
IF(AND(F49&lt;&gt;"",OR(F49&lt;1,F49&gt;100)), "Water Score is not a valid 1-100 score. ","")&amp;
IFERROR(IF(ABS((G49-(L15*1000/'Input-Property'!D32))/G49)&gt;0.2, "Reported Water Use Intensity is significantly different from water use intensity calculated from inputs in this workbook. ",""),"")&amp;
IF(AND(EOMONTH(H49,0)&lt;&gt;H49,H49&lt;&gt;""),"End date for Portfolio Manager reporting data should reflect the last day of the month. ","")</f>
        <v/>
      </c>
    </row>
    <row r="50" spans="3:14" ht="18" customHeight="1">
      <c r="N50" s="855"/>
    </row>
    <row r="51" spans="3:14">
      <c r="N51" s="855"/>
    </row>
    <row r="52" spans="3:14">
      <c r="N52" s="856"/>
    </row>
  </sheetData>
  <sheetProtection algorithmName="SHA-512" hashValue="v2oiMstF3HAR5T5j29B+3S2wBBg+0i+qXSREtL5bI3MVeFWVanHuYx3OJC8FB1wTkTiz0IxCa7bv2i6wY6EYhg==" saltValue="+rhCgQuaVv8r7jgwEQx4dw==" spinCount="100000" sheet="1" objects="1" scenarios="1"/>
  <mergeCells count="26">
    <mergeCell ref="N8:N9"/>
    <mergeCell ref="J14:K14"/>
    <mergeCell ref="J15:K15"/>
    <mergeCell ref="B36:L36"/>
    <mergeCell ref="B4:L4"/>
    <mergeCell ref="C8:C9"/>
    <mergeCell ref="D8:F8"/>
    <mergeCell ref="G8:I8"/>
    <mergeCell ref="J8:L8"/>
    <mergeCell ref="G17:H17"/>
    <mergeCell ref="G22:H22"/>
    <mergeCell ref="G23:H23"/>
    <mergeCell ref="G24:H24"/>
    <mergeCell ref="G25:H25"/>
    <mergeCell ref="G26:H26"/>
    <mergeCell ref="I17:J17"/>
    <mergeCell ref="E17:F17"/>
    <mergeCell ref="B35:L35"/>
    <mergeCell ref="N49:N52"/>
    <mergeCell ref="D38:F38"/>
    <mergeCell ref="G38:I38"/>
    <mergeCell ref="K40:L40"/>
    <mergeCell ref="K41:L41"/>
    <mergeCell ref="K42:L42"/>
    <mergeCell ref="K43:L43"/>
    <mergeCell ref="K39:L39"/>
  </mergeCells>
  <conditionalFormatting sqref="D40:E42 I40:I42">
    <cfRule type="expression" dxfId="37" priority="34">
      <formula>AND($C40&lt;&gt;"n/a", D40="")</formula>
    </cfRule>
  </conditionalFormatting>
  <conditionalFormatting sqref="C49:H49">
    <cfRule type="expression" dxfId="36" priority="33">
      <formula>C49=""</formula>
    </cfRule>
  </conditionalFormatting>
  <conditionalFormatting sqref="C11:C12">
    <cfRule type="expression" dxfId="35" priority="32">
      <formula>C11=""</formula>
    </cfRule>
  </conditionalFormatting>
  <conditionalFormatting sqref="I43">
    <cfRule type="expression" dxfId="34" priority="29">
      <formula>AND($C43&lt;&gt;"n/a", I43="")</formula>
    </cfRule>
  </conditionalFormatting>
  <conditionalFormatting sqref="D23:D27">
    <cfRule type="expression" dxfId="33" priority="38">
      <formula>AND($C10&lt;&gt;"",$C10&lt;&gt;"n/a",D23="")</formula>
    </cfRule>
  </conditionalFormatting>
  <conditionalFormatting sqref="K10">
    <cfRule type="expression" dxfId="32" priority="26">
      <formula>AND($C10&lt;&gt;"",$C10&lt;&gt;"n/a",K10="")</formula>
    </cfRule>
  </conditionalFormatting>
  <conditionalFormatting sqref="H40">
    <cfRule type="expression" dxfId="31" priority="20">
      <formula>AND($C40&lt;&gt;"n/a", H40="")</formula>
    </cfRule>
  </conditionalFormatting>
  <conditionalFormatting sqref="G40:G42">
    <cfRule type="expression" dxfId="30" priority="19">
      <formula>AND($C40&lt;&gt;"n/a", G40="")</formula>
    </cfRule>
  </conditionalFormatting>
  <conditionalFormatting sqref="G23:G26 E23:E26">
    <cfRule type="expression" dxfId="29" priority="172">
      <formula>AND($C10&lt;&gt;"", $C10&lt;&gt;"n/a", E23="", $D23&lt;&gt;"Owner Only", $D23&lt;&gt;"n/a")</formula>
    </cfRule>
  </conditionalFormatting>
  <conditionalFormatting sqref="H18">
    <cfRule type="expression" dxfId="28" priority="192">
      <formula>AND($C17&lt;&gt;"",$C17&lt;&gt;"n/a",H18="")</formula>
    </cfRule>
  </conditionalFormatting>
  <conditionalFormatting sqref="F18">
    <cfRule type="expression" dxfId="27" priority="10">
      <formula>AND($C17&lt;&gt;"",$C17&lt;&gt;"n/a",F18="")</formula>
    </cfRule>
  </conditionalFormatting>
  <conditionalFormatting sqref="D10:E13 F11:F13 G10:H13">
    <cfRule type="expression" dxfId="26" priority="7">
      <formula>AND($C10&lt;&gt;"",$C10&lt;&gt;"n/a",D10="")</formula>
    </cfRule>
  </conditionalFormatting>
  <conditionalFormatting sqref="D18:E18 G18 I18">
    <cfRule type="expression" dxfId="25" priority="5">
      <formula>AND($C$18&lt;&gt;"",$C$18&lt;&gt;"n/a",D18="")</formula>
    </cfRule>
  </conditionalFormatting>
  <conditionalFormatting sqref="D29:D32 E29:E30 E32">
    <cfRule type="expression" dxfId="24" priority="4">
      <formula>D29=""</formula>
    </cfRule>
  </conditionalFormatting>
  <conditionalFormatting sqref="F23:F26">
    <cfRule type="expression" dxfId="23" priority="3">
      <formula>AND(E23="Representative sample bills",F23="")</formula>
    </cfRule>
  </conditionalFormatting>
  <conditionalFormatting sqref="F43">
    <cfRule type="expression" dxfId="22" priority="1">
      <formula>AND($C43&lt;&gt;"n/a", F43="")</formula>
    </cfRule>
  </conditionalFormatting>
  <dataValidations count="11">
    <dataValidation type="list" allowBlank="1" showInputMessage="1" showErrorMessage="1" sqref="J41:J43">
      <formula1>$D$4:$D$7</formula1>
    </dataValidation>
    <dataValidation type="date" operator="greaterThan" allowBlank="1" showInputMessage="1" showErrorMessage="1" sqref="H49">
      <formula1>42005</formula1>
    </dataValidation>
    <dataValidation errorStyle="warning" allowBlank="1" showInputMessage="1" showErrorMessage="1" error="Property ID should be a 7-digit number. This can be found in Portfolio Manager and on the Energy Star SEP Report." sqref="C49"/>
    <dataValidation type="list" allowBlank="1" showInputMessage="1" showErrorMessage="1" sqref="J27 D29:D31">
      <formula1>"Owner, Tenant, Mixed"</formula1>
    </dataValidation>
    <dataValidation type="list" allowBlank="1" showErrorMessage="1" promptTitle="Info" sqref="D29:D31">
      <formula1>"Owner, Tenant, Mixed"</formula1>
    </dataValidation>
    <dataValidation type="list" allowBlank="1" showInputMessage="1" showErrorMessage="1" sqref="C18">
      <formula1>"Solar PV, Cogeneration/CHP, Wind, Other, n/a"</formula1>
    </dataValidation>
    <dataValidation type="list" allowBlank="1" showInputMessage="1" showErrorMessage="1" sqref="D18">
      <formula1>"Owner, Tenant, Both owner and tenant"</formula1>
    </dataValidation>
    <dataValidation type="decimal" operator="greaterThanOrEqual" allowBlank="1" showInputMessage="1" showErrorMessage="1" sqref="D10:E13 G10:H13 E18 G18 F43 D40:E42 G40:G42 H40:I40 I41:I43 G49 E49">
      <formula1>0</formula1>
    </dataValidation>
    <dataValidation type="list" allowBlank="1" showInputMessage="1" showErrorMessage="1" sqref="D32">
      <formula1>"n/a, Owner, Tenant, Mixed"</formula1>
    </dataValidation>
    <dataValidation type="list" allowBlank="1" showErrorMessage="1" promptTitle="Info" sqref="D32">
      <formula1>"Owner, Tenant, Mixed, n/a"</formula1>
    </dataValidation>
    <dataValidation type="whole" operator="greaterThanOrEqual" allowBlank="1" showInputMessage="1" showErrorMessage="1" error="Total Electricity Generated cannot be less than Electricity Used Onsite." sqref="I18">
      <formula1>G18</formula1>
    </dataValidation>
  </dataValidations>
  <pageMargins left="0.7" right="0.7" top="0.75" bottom="0.75" header="0.3" footer="0.3"/>
  <pageSetup paperSize="5" scale="84" orientation="landscape" r:id="rId1"/>
  <headerFooter>
    <oddFooter>&amp;L&amp;"Source Sans Pro,Regular"&amp;8© 2019 Fannie Mae. Trademarks of Fannie Mae.&amp;C&amp;"Source Sans Pro,Regular"&amp;8Form 4099.H - September 2019&amp;R&amp;"Source Sans Pro,Regular"&amp;8Page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8" id="{B302E67D-5F03-4523-9623-67C4B07DFFD5}">
            <xm:f>AND($C43&lt;&gt;"n/a",$H43="",'DB-Utilities'!#REF!=FALSE, 'DB-Utilities'!#REF!=FALSE,'DB-Utilities'!#REF!=FALSE)</xm:f>
            <x14:dxf>
              <fill>
                <patternFill>
                  <bgColor rgb="FFFFFF99"/>
                </patternFill>
              </fill>
            </x14:dxf>
          </x14:cfRule>
          <xm:sqref>K43:L43</xm:sqref>
        </x14:conditionalFormatting>
        <x14:conditionalFormatting xmlns:xm="http://schemas.microsoft.com/office/excel/2006/main">
          <x14:cfRule type="expression" priority="204" id="{D079A40E-1CE4-4CC8-9D11-812485031489}">
            <xm:f>AND($C41&lt;&gt;"n/a",$H41="",'DB-Utilities'!$AA5=FALSE, 'DB-Utilities'!$AB5=FALSE,'DB-Utilities'!$AC5=FALSE)</xm:f>
            <x14:dxf>
              <fill>
                <patternFill>
                  <bgColor rgb="FFFFFF99"/>
                </patternFill>
              </fill>
            </x14:dxf>
          </x14:cfRule>
          <xm:sqref>K41:L41</xm:sqref>
        </x14:conditionalFormatting>
        <x14:conditionalFormatting xmlns:xm="http://schemas.microsoft.com/office/excel/2006/main">
          <x14:cfRule type="expression" priority="215" id="{D079A40E-1CE4-4CC8-9D11-812485031489}">
            <xm:f>AND($C40&lt;&gt;"n/a",$H40="",'DB-Utilities'!$AC4=FALSE, 'DB-Utilities'!$AB4=FALSE,'DB-Utilities'!#REF!=FALSE)</xm:f>
            <x14:dxf>
              <fill>
                <patternFill>
                  <bgColor rgb="FFFFFF99"/>
                </patternFill>
              </fill>
            </x14:dxf>
          </x14:cfRule>
          <xm:sqref>K40:L40</xm:sqref>
        </x14:conditionalFormatting>
        <x14:conditionalFormatting xmlns:xm="http://schemas.microsoft.com/office/excel/2006/main">
          <x14:cfRule type="expression" priority="226" id="{D079A40E-1CE4-4CC8-9D11-812485031489}">
            <xm:f>AND($C42&lt;&gt;"n/a",$H42="",'DB-Utilities'!#REF!=FALSE, 'DB-Utilities'!#REF!=FALSE,'DB-Utilities'!#REF!=FALSE)</xm:f>
            <x14:dxf>
              <fill>
                <patternFill>
                  <bgColor rgb="FFFFFF99"/>
                </patternFill>
              </fill>
            </x14:dxf>
          </x14:cfRule>
          <xm:sqref>K42:L42</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ErrorMessage="1" promptTitle="Info">
          <x14:formula1>
            <xm:f>Dropdowns!$C$3:$C$7</xm:f>
          </x14:formula1>
          <xm:sqref>D23:D26</xm:sqref>
        </x14:dataValidation>
        <x14:dataValidation type="list" allowBlank="1" showErrorMessage="1">
          <x14:formula1>
            <xm:f>Dropdowns!$G$3:$G$6</xm:f>
          </x14:formula1>
          <xm:sqref>E23:E26</xm:sqref>
        </x14:dataValidation>
        <x14:dataValidation type="list" allowBlank="1" showInputMessage="1" showErrorMessage="1">
          <x14:formula1>
            <xm:f>Dropdowns!$E$3:$E$10</xm:f>
          </x14:formula1>
          <xm:sqref>F11:F12</xm:sqref>
        </x14:dataValidation>
        <x14:dataValidation type="list" allowBlank="1" showInputMessage="1" showErrorMessage="1">
          <x14:formula1>
            <xm:f>Dropdowns!$F$3:$F$6</xm:f>
          </x14:formula1>
          <xm:sqref>F13</xm:sqref>
        </x14:dataValidation>
        <x14:dataValidation type="list" allowBlank="1" showInputMessage="1" showErrorMessage="1">
          <x14:formula1>
            <xm:f>Dropdowns!$H$3:$H$9</xm:f>
          </x14:formula1>
          <xm:sqref>C11:C12</xm:sqref>
        </x14:dataValidation>
        <x14:dataValidation type="list" allowBlank="1" showInputMessage="1" showErrorMessage="1">
          <x14:formula1>
            <xm:f>Dropdowns!$P$4:$P$6</xm:f>
          </x14:formula1>
          <xm:sqref>E29:F30 F32 K27</xm:sqref>
        </x14:dataValidation>
        <x14:dataValidation type="list" allowBlank="1" showErrorMessage="1">
          <x14:formula1>
            <xm:f>Dropdowns!$P$4:$P$6</xm:f>
          </x14:formula1>
          <xm:sqref>E29:F30</xm:sqref>
        </x14:dataValidation>
        <x14:dataValidation type="list" allowBlank="1" showInputMessage="1" showErrorMessage="1">
          <x14:formula1>
            <xm:f>Dropdowns!$P$3:$P$6</xm:f>
          </x14:formula1>
          <xm:sqref>E32</xm:sqref>
        </x14:dataValidation>
        <x14:dataValidation type="list" allowBlank="1" showErrorMessage="1">
          <x14:formula1>
            <xm:f>Dropdowns!$P$3:$P$6</xm:f>
          </x14:formula1>
          <xm:sqref>E32</xm:sqref>
        </x14:dataValidation>
        <x14:dataValidation type="list" allowBlank="1" showErrorMessage="1">
          <x14:formula1>
            <xm:f>Dropdowns!$P$2:$P$6</xm:f>
          </x14:formula1>
          <xm:sqref>F32</xm:sqref>
        </x14:dataValidation>
        <x14:dataValidation type="whole" allowBlank="1" showInputMessage="1" showErrorMessage="1" error="Number of accounts sampled must be a valid number no greater than the total number of units at the property.">
          <x14:formula1>
            <xm:f>0</xm:f>
          </x14:formula1>
          <x14:formula2>
            <xm:f>'Input-Property'!D42</xm:f>
          </x14:formula2>
          <xm:sqref>F23</xm:sqref>
        </x14:dataValidation>
        <x14:dataValidation type="whole" allowBlank="1" showInputMessage="1" showErrorMessage="1" error="Number of accounts sampled must be a valid number no greater than the total number of units at the property.">
          <x14:formula1>
            <xm:f>0</xm:f>
          </x14:formula1>
          <x14:formula2>
            <xm:f>'Input-Property'!D42</xm:f>
          </x14:formula2>
          <xm:sqref>F24</xm:sqref>
        </x14:dataValidation>
        <x14:dataValidation type="whole" allowBlank="1" showInputMessage="1" showErrorMessage="1" error="Number of accounts sampled must be a valid number no greater than the total number of units at the property.">
          <x14:formula1>
            <xm:f>0</xm:f>
          </x14:formula1>
          <x14:formula2>
            <xm:f>'Input-Property'!D42</xm:f>
          </x14:formula2>
          <xm:sqref>F25</xm:sqref>
        </x14:dataValidation>
        <x14:dataValidation type="whole" allowBlank="1" showInputMessage="1" showErrorMessage="1" error="Number of accounts sampled must be a valid number no greater than the total number of units at the property.">
          <x14:formula1>
            <xm:f>0</xm:f>
          </x14:formula1>
          <x14:formula2>
            <xm:f>'Input-Property'!D42</xm:f>
          </x14:formula2>
          <xm:sqref>F26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autoPageBreaks="0"/>
  </sheetPr>
  <dimension ref="A1:Q67"/>
  <sheetViews>
    <sheetView showGridLines="0" zoomScale="90" zoomScaleNormal="90" workbookViewId="0">
      <selection activeCell="I34" sqref="I34:M34"/>
    </sheetView>
  </sheetViews>
  <sheetFormatPr defaultColWidth="9.28515625" defaultRowHeight="14.25"/>
  <cols>
    <col min="1" max="2" width="2.28515625" style="210" customWidth="1"/>
    <col min="3" max="3" width="16.28515625" style="210" customWidth="1"/>
    <col min="4" max="4" width="13.28515625" style="210" customWidth="1"/>
    <col min="5" max="5" width="8.7109375" style="210" customWidth="1"/>
    <col min="6" max="6" width="8.28515625" style="210" customWidth="1"/>
    <col min="7" max="7" width="8.7109375" style="210" customWidth="1"/>
    <col min="8" max="8" width="7.28515625" style="210" customWidth="1"/>
    <col min="9" max="9" width="8.5703125" style="210" customWidth="1"/>
    <col min="10" max="10" width="7.28515625" style="210" customWidth="1"/>
    <col min="11" max="12" width="10" style="210" customWidth="1"/>
    <col min="13" max="13" width="9.42578125" style="210" customWidth="1"/>
    <col min="14" max="14" width="2.42578125" style="360" customWidth="1"/>
    <col min="15" max="15" width="52.42578125" style="210" customWidth="1"/>
    <col min="16" max="16" width="9.28515625" style="210"/>
    <col min="17" max="17" width="11.28515625" style="210" customWidth="1"/>
    <col min="18" max="16384" width="9.28515625" style="210"/>
  </cols>
  <sheetData>
    <row r="1" spans="1:17" s="187" customFormat="1" ht="23.25" customHeight="1">
      <c r="A1" s="188"/>
      <c r="B1" s="185" t="s">
        <v>367</v>
      </c>
      <c r="C1" s="186"/>
      <c r="D1" s="186"/>
      <c r="E1" s="186"/>
      <c r="F1" s="186"/>
      <c r="G1" s="186"/>
      <c r="H1" s="186"/>
      <c r="I1" s="186"/>
      <c r="M1" s="207"/>
    </row>
    <row r="2" spans="1:17" s="187" customFormat="1" ht="15" customHeight="1">
      <c r="C2" s="207"/>
      <c r="D2" s="207"/>
      <c r="E2" s="207"/>
      <c r="F2" s="207"/>
      <c r="G2" s="207"/>
      <c r="H2" s="207"/>
      <c r="I2" s="207"/>
      <c r="J2" s="207"/>
      <c r="K2" s="207"/>
      <c r="L2" s="207"/>
      <c r="M2" s="207"/>
      <c r="N2" s="188"/>
    </row>
    <row r="3" spans="1:17" s="188" customFormat="1" ht="26.25">
      <c r="B3" s="208" t="s">
        <v>321</v>
      </c>
      <c r="H3" s="186"/>
    </row>
    <row r="4" spans="1:17" s="187" customFormat="1" ht="28.5" customHeight="1">
      <c r="A4" s="188"/>
      <c r="B4" s="871" t="s">
        <v>819</v>
      </c>
      <c r="C4" s="871"/>
      <c r="D4" s="871"/>
      <c r="E4" s="871"/>
      <c r="F4" s="871"/>
      <c r="G4" s="871"/>
      <c r="H4" s="871"/>
      <c r="I4" s="871"/>
      <c r="J4" s="871"/>
      <c r="K4" s="871"/>
      <c r="L4" s="871"/>
      <c r="M4" s="871"/>
      <c r="N4" s="188"/>
    </row>
    <row r="5" spans="1:17" s="351" customFormat="1" ht="18" customHeight="1">
      <c r="N5" s="520"/>
    </row>
    <row r="6" spans="1:17" s="351" customFormat="1" ht="18.75" thickBot="1">
      <c r="B6" s="328" t="s">
        <v>289</v>
      </c>
      <c r="C6" s="521"/>
      <c r="D6" s="521"/>
      <c r="E6" s="521"/>
      <c r="F6" s="521"/>
      <c r="G6" s="521"/>
      <c r="H6" s="521"/>
      <c r="I6" s="521"/>
      <c r="J6" s="521"/>
      <c r="K6" s="521"/>
      <c r="L6" s="521"/>
      <c r="M6" s="521"/>
      <c r="N6" s="520"/>
    </row>
    <row r="7" spans="1:17" s="351" customFormat="1" ht="15" customHeight="1">
      <c r="N7" s="520"/>
    </row>
    <row r="8" spans="1:17" s="351" customFormat="1" ht="15" customHeight="1">
      <c r="B8" s="522" t="s">
        <v>342</v>
      </c>
      <c r="N8" s="520"/>
    </row>
    <row r="9" spans="1:17" s="351" customFormat="1" ht="15" customHeight="1">
      <c r="B9" s="980" t="s">
        <v>397</v>
      </c>
      <c r="C9" s="981"/>
      <c r="D9" s="981"/>
      <c r="E9" s="981"/>
      <c r="F9" s="981"/>
      <c r="G9" s="981"/>
      <c r="H9" s="981"/>
      <c r="I9" s="981"/>
      <c r="J9" s="981"/>
      <c r="K9" s="981"/>
      <c r="L9" s="981"/>
      <c r="M9" s="981"/>
      <c r="N9" s="520"/>
    </row>
    <row r="10" spans="1:17" s="351" customFormat="1" ht="9.75" customHeight="1">
      <c r="N10" s="520"/>
    </row>
    <row r="11" spans="1:17" s="351" customFormat="1" ht="15" customHeight="1">
      <c r="C11" s="931" t="s">
        <v>337</v>
      </c>
      <c r="D11" s="932"/>
      <c r="E11" s="973" t="s">
        <v>330</v>
      </c>
      <c r="F11" s="976" t="s">
        <v>338</v>
      </c>
      <c r="G11" s="977"/>
      <c r="H11" s="972" t="s">
        <v>339</v>
      </c>
      <c r="I11" s="973"/>
      <c r="J11" s="968" t="s">
        <v>340</v>
      </c>
      <c r="K11" s="969"/>
      <c r="N11" s="520"/>
      <c r="O11" s="867" t="s">
        <v>301</v>
      </c>
    </row>
    <row r="12" spans="1:17" s="351" customFormat="1" ht="15" customHeight="1" thickBot="1">
      <c r="C12" s="933"/>
      <c r="D12" s="934"/>
      <c r="E12" s="975"/>
      <c r="F12" s="978"/>
      <c r="G12" s="979"/>
      <c r="H12" s="974"/>
      <c r="I12" s="975"/>
      <c r="J12" s="970"/>
      <c r="K12" s="971"/>
      <c r="N12" s="520"/>
      <c r="O12" s="868" t="s">
        <v>301</v>
      </c>
      <c r="Q12" s="523"/>
    </row>
    <row r="13" spans="1:17" s="351" customFormat="1" ht="15" customHeight="1" thickTop="1">
      <c r="C13" s="941" t="s">
        <v>332</v>
      </c>
      <c r="D13" s="524" t="s">
        <v>343</v>
      </c>
      <c r="E13" s="525"/>
      <c r="F13" s="966"/>
      <c r="G13" s="967"/>
      <c r="H13" s="526"/>
      <c r="I13" s="527" t="str">
        <f>VLOOKUP(C13,Assumptions!$B$41:$F$44, 5, FALSE)</f>
        <v>gpm</v>
      </c>
      <c r="J13" s="528"/>
      <c r="K13" s="529" t="str">
        <f>I13</f>
        <v>gpm</v>
      </c>
      <c r="O13" s="962" t="str">
        <f>IF(OR(H13&gt;'QC Ranges'!E38,H14&gt;'QC Ranges'!E38), "Existing kitchen faucet flow rate is higher than typical. ", "")&amp;IF(AND(SUM(F13:G14)&lt;&gt;1, F13&lt;&gt;"", F14&lt;&gt;""), "100% of occupants using kitchen faucets have not been accounted for. ", "")</f>
        <v/>
      </c>
      <c r="Q13" s="523"/>
    </row>
    <row r="14" spans="1:17" s="351" customFormat="1" ht="15" customHeight="1">
      <c r="C14" s="942"/>
      <c r="D14" s="530" t="s">
        <v>344</v>
      </c>
      <c r="E14" s="525"/>
      <c r="F14" s="966" t="str">
        <f>IF(AND(ISNUMBER(E14),E14=0), 0, IF(F13="","",1-F13))</f>
        <v/>
      </c>
      <c r="G14" s="967"/>
      <c r="H14" s="531"/>
      <c r="I14" s="532" t="s">
        <v>53</v>
      </c>
      <c r="J14" s="533" t="str">
        <f>IF(H14="","", H14)</f>
        <v/>
      </c>
      <c r="K14" s="534" t="s">
        <v>53</v>
      </c>
      <c r="O14" s="962"/>
      <c r="Q14" s="523"/>
    </row>
    <row r="15" spans="1:17" s="351" customFormat="1" ht="15" customHeight="1">
      <c r="C15" s="943" t="s">
        <v>333</v>
      </c>
      <c r="D15" s="535" t="s">
        <v>343</v>
      </c>
      <c r="E15" s="536"/>
      <c r="F15" s="944"/>
      <c r="G15" s="945"/>
      <c r="H15" s="526"/>
      <c r="I15" s="527" t="str">
        <f>VLOOKUP(C15,Assumptions!$B$41:$F$44, 5, FALSE)</f>
        <v>gpm</v>
      </c>
      <c r="J15" s="528"/>
      <c r="K15" s="529" t="str">
        <f>I15</f>
        <v>gpm</v>
      </c>
      <c r="O15" s="962" t="str">
        <f>IF(OR(H15&gt;'QC Ranges'!E37,H16&gt;'QC Ranges'!E37), "Existing bath faucet flow rate is higher than typical. ", "")&amp;IF(AND(SUM(F15:G16)&lt;&gt;1, F15&lt;&gt;"", F16&lt;&gt;""), "100% of occupants using bath faucets have not been accounted for. ", "")</f>
        <v/>
      </c>
      <c r="Q15" s="523"/>
    </row>
    <row r="16" spans="1:17" s="351" customFormat="1" ht="15" customHeight="1">
      <c r="C16" s="942"/>
      <c r="D16" s="537" t="s">
        <v>344</v>
      </c>
      <c r="E16" s="538"/>
      <c r="F16" s="964" t="str">
        <f>IF(AND(ISNUMBER(E16),E16=0), 0, IF(F15="","",1-F15))</f>
        <v/>
      </c>
      <c r="G16" s="965"/>
      <c r="H16" s="531"/>
      <c r="I16" s="532" t="s">
        <v>53</v>
      </c>
      <c r="J16" s="533" t="str">
        <f>IF(H16="","", H16)</f>
        <v/>
      </c>
      <c r="K16" s="534" t="s">
        <v>53</v>
      </c>
      <c r="O16" s="962"/>
      <c r="Q16" s="539"/>
    </row>
    <row r="17" spans="2:15" s="351" customFormat="1" ht="15" customHeight="1">
      <c r="C17" s="943" t="s">
        <v>55</v>
      </c>
      <c r="D17" s="535" t="s">
        <v>343</v>
      </c>
      <c r="E17" s="536"/>
      <c r="F17" s="944"/>
      <c r="G17" s="945"/>
      <c r="H17" s="526"/>
      <c r="I17" s="527" t="str">
        <f>VLOOKUP(C17,Assumptions!$B$41:$F$44, 5, FALSE)</f>
        <v>gpm</v>
      </c>
      <c r="J17" s="528"/>
      <c r="K17" s="529" t="str">
        <f>I17</f>
        <v>gpm</v>
      </c>
      <c r="O17" s="962" t="str">
        <f>IF(OR(H17&gt;'QC Ranges'!E39,H18&gt;'QC Ranges'!E39), "Existing showerhead flow rate is higher than typical. ", "")&amp;IF(J17&gt;0,IF(J17&lt;'QC Ranges'!D35, "Proposed showerhead flow rate lower than preferred rate. ", ""),"")&amp;IF(AND(SUM(F17:G18)&lt;&gt;1, F17&lt;&gt;"", F18&lt;&gt;""), "100% of occupants using showerheads have not been accounted for. ", "")</f>
        <v/>
      </c>
    </row>
    <row r="18" spans="2:15" s="351" customFormat="1" ht="15" customHeight="1">
      <c r="C18" s="942"/>
      <c r="D18" s="537" t="s">
        <v>344</v>
      </c>
      <c r="E18" s="538"/>
      <c r="F18" s="964" t="str">
        <f>IF(AND(ISNUMBER(E18),E18=0), 0, IF(F17="","",1-F17))</f>
        <v/>
      </c>
      <c r="G18" s="965"/>
      <c r="H18" s="531"/>
      <c r="I18" s="532" t="s">
        <v>53</v>
      </c>
      <c r="J18" s="533" t="str">
        <f>IF(H18="","", H18)</f>
        <v/>
      </c>
      <c r="K18" s="534" t="s">
        <v>53</v>
      </c>
      <c r="O18" s="962"/>
    </row>
    <row r="19" spans="2:15" s="351" customFormat="1" ht="15" customHeight="1">
      <c r="C19" s="943" t="s">
        <v>56</v>
      </c>
      <c r="D19" s="540" t="s">
        <v>343</v>
      </c>
      <c r="E19" s="536"/>
      <c r="F19" s="944"/>
      <c r="G19" s="945"/>
      <c r="H19" s="541"/>
      <c r="I19" s="542" t="str">
        <f>VLOOKUP(C19,Assumptions!$B$41:$F$44, 5, FALSE)</f>
        <v>gpf</v>
      </c>
      <c r="J19" s="543"/>
      <c r="K19" s="544" t="str">
        <f>I19</f>
        <v>gpf</v>
      </c>
      <c r="O19" s="962" t="str">
        <f>IF(OR(H19&gt;'QC Ranges'!E36,H20&gt;'QC Ranges'!E36), "Existing toilet flush rate is higher than typical. ", "")&amp;IF(J19&gt;0,IF(J19&lt;'QC Ranges'!D32, "Proposed toilet flush rate lower than preferred rate. ", ""),"")&amp;IF(AND(SUM(F19:G20)&lt;&gt;1, F19&lt;&gt;"", F20&lt;&gt;""), "100% of occupants using toilets have not been accounted for. ", "")</f>
        <v/>
      </c>
    </row>
    <row r="20" spans="2:15" s="351" customFormat="1" ht="15" customHeight="1" thickBot="1">
      <c r="C20" s="942"/>
      <c r="D20" s="545" t="s">
        <v>344</v>
      </c>
      <c r="E20" s="546"/>
      <c r="F20" s="939" t="str">
        <f>IF(AND(ISNUMBER(E20),E20=0), 0, IF(F19="","",1-F19))</f>
        <v/>
      </c>
      <c r="G20" s="940"/>
      <c r="H20" s="547"/>
      <c r="I20" s="548" t="s">
        <v>52</v>
      </c>
      <c r="J20" s="549" t="str">
        <f>IF(H20="","", H20)</f>
        <v/>
      </c>
      <c r="K20" s="550" t="str">
        <f>I20</f>
        <v>gpf</v>
      </c>
      <c r="O20" s="962"/>
    </row>
    <row r="21" spans="2:15" ht="15" customHeight="1" thickTop="1">
      <c r="C21" s="941" t="s">
        <v>331</v>
      </c>
      <c r="D21" s="535" t="s">
        <v>343</v>
      </c>
      <c r="E21" s="525"/>
      <c r="F21" s="966"/>
      <c r="G21" s="967"/>
      <c r="H21" s="526"/>
      <c r="I21" s="551" t="s">
        <v>94</v>
      </c>
      <c r="J21" s="528"/>
      <c r="K21" s="552" t="s">
        <v>94</v>
      </c>
      <c r="L21" s="351"/>
      <c r="O21" s="961" t="str">
        <f>IF(OR(H21&gt;'QC Ranges'!E40,H22&gt;'QC Ranges'!E40), "Existing in-unit washer uses more water per load than typical range. ","")&amp;IF(AND(J21&gt;0,J21&lt;'QC Ranges'!D40), "Proposed in-unit washer uses less water per load than most available high-efficiency models. ","")&amp;IF(H23&gt;'QC Ranges'!E41, "Existing common washer uses more water per load than typical range. ","")&amp;IF(AND(J23&gt;0,J23&lt;'QC Ranges'!D41), "Proposed common washer uses less water than most available high-efficiency models. ","")&amp;IF(AND(F21&lt;&gt;"",F22&lt;&gt;"",F23&lt;&gt;"",F24&lt;&gt;"",SUM(F21:G24)&lt;&gt;1,'DB-Utilities'!AE5=TRUE), "Number of occupants using washers does not match number of occupants at property (100% of occupants are expected to use either common or in-unit laundry). ", "")</f>
        <v/>
      </c>
    </row>
    <row r="22" spans="2:15" ht="15" customHeight="1">
      <c r="C22" s="942"/>
      <c r="D22" s="530" t="s">
        <v>344</v>
      </c>
      <c r="E22" s="525"/>
      <c r="F22" s="946"/>
      <c r="G22" s="947"/>
      <c r="H22" s="531"/>
      <c r="I22" s="553" t="s">
        <v>94</v>
      </c>
      <c r="J22" s="533" t="str">
        <f>IF(H22="","", H22)</f>
        <v/>
      </c>
      <c r="K22" s="554" t="s">
        <v>94</v>
      </c>
      <c r="L22" s="351"/>
      <c r="O22" s="961"/>
    </row>
    <row r="23" spans="2:15" ht="15" customHeight="1">
      <c r="C23" s="943" t="s">
        <v>334</v>
      </c>
      <c r="D23" s="540" t="s">
        <v>343</v>
      </c>
      <c r="E23" s="536"/>
      <c r="F23" s="966"/>
      <c r="G23" s="967"/>
      <c r="H23" s="541"/>
      <c r="I23" s="551" t="s">
        <v>94</v>
      </c>
      <c r="J23" s="543"/>
      <c r="K23" s="552" t="s">
        <v>94</v>
      </c>
      <c r="L23" s="351"/>
      <c r="O23" s="961"/>
    </row>
    <row r="24" spans="2:15" ht="15" customHeight="1" thickBot="1">
      <c r="C24" s="942"/>
      <c r="D24" s="537" t="s">
        <v>344</v>
      </c>
      <c r="E24" s="538"/>
      <c r="F24" s="939"/>
      <c r="G24" s="940"/>
      <c r="H24" s="555"/>
      <c r="I24" s="553" t="s">
        <v>94</v>
      </c>
      <c r="J24" s="533" t="str">
        <f>IF(H24="","", H24)</f>
        <v/>
      </c>
      <c r="K24" s="554" t="s">
        <v>94</v>
      </c>
      <c r="L24" s="351"/>
      <c r="O24" s="961"/>
    </row>
    <row r="25" spans="2:15" ht="15" customHeight="1" thickTop="1">
      <c r="C25" s="941" t="s">
        <v>335</v>
      </c>
      <c r="D25" s="524" t="s">
        <v>343</v>
      </c>
      <c r="E25" s="556"/>
      <c r="F25" s="948"/>
      <c r="G25" s="949"/>
      <c r="H25" s="557"/>
      <c r="I25" s="558" t="s">
        <v>113</v>
      </c>
      <c r="J25" s="559"/>
      <c r="K25" s="560" t="s">
        <v>113</v>
      </c>
      <c r="L25" s="351"/>
      <c r="O25" s="962" t="str">
        <f>IF(OR(H25&gt;'QC Ranges'!E42,H26&gt;'QC Ranges'!E42), "Existing dishwasher water usage exceeds 2007 federal standard. ","")&amp;IF(AND(J25&gt;0,J25&lt;'QC Ranges'!D42), "Proposed dishwasher uses less water than most available high-efficiency models. ","")&amp;IF(AND(F25&lt;&gt;"", F26&lt;&gt;"",SUM(F25:G26)&lt;&gt;1,'DB-Utilities'!AF5=TRUE), "Number of occupants using dishwashers does not match number of occupants at property. ", "")</f>
        <v/>
      </c>
    </row>
    <row r="26" spans="2:15" ht="15" customHeight="1">
      <c r="C26" s="942"/>
      <c r="D26" s="537" t="s">
        <v>344</v>
      </c>
      <c r="E26" s="561"/>
      <c r="F26" s="946" t="str">
        <f>IF(AND(ISNUMBER(E26),E26=0), 0, IF(F25="","",1-F25))</f>
        <v/>
      </c>
      <c r="G26" s="947"/>
      <c r="H26" s="555"/>
      <c r="I26" s="562" t="s">
        <v>113</v>
      </c>
      <c r="J26" s="533" t="str">
        <f>IF(H26="","", H26)</f>
        <v/>
      </c>
      <c r="K26" s="563" t="s">
        <v>113</v>
      </c>
      <c r="L26" s="351"/>
      <c r="O26" s="963"/>
    </row>
    <row r="27" spans="2:15" s="351" customFormat="1" ht="12"/>
    <row r="28" spans="2:15" s="351" customFormat="1" ht="12"/>
    <row r="29" spans="2:15" s="351" customFormat="1" ht="12.75">
      <c r="B29" s="522" t="s">
        <v>341</v>
      </c>
    </row>
    <row r="30" spans="2:15" s="351" customFormat="1" ht="12">
      <c r="B30" s="564" t="s">
        <v>345</v>
      </c>
    </row>
    <row r="31" spans="2:15" s="351" customFormat="1" ht="6" customHeight="1"/>
    <row r="32" spans="2:15" s="351" customFormat="1" ht="15" customHeight="1">
      <c r="C32" s="931" t="s">
        <v>337</v>
      </c>
      <c r="D32" s="932"/>
      <c r="E32" s="950" t="s">
        <v>63</v>
      </c>
      <c r="F32" s="951"/>
      <c r="G32" s="951"/>
      <c r="H32" s="952"/>
      <c r="I32" s="922" t="s">
        <v>346</v>
      </c>
      <c r="J32" s="923"/>
      <c r="K32" s="923"/>
      <c r="L32" s="923"/>
      <c r="M32" s="924"/>
    </row>
    <row r="33" spans="2:17" s="351" customFormat="1" ht="15" customHeight="1" thickBot="1">
      <c r="C33" s="933"/>
      <c r="D33" s="934"/>
      <c r="E33" s="953" t="s">
        <v>60</v>
      </c>
      <c r="F33" s="953"/>
      <c r="G33" s="953" t="s">
        <v>61</v>
      </c>
      <c r="H33" s="898"/>
      <c r="I33" s="925"/>
      <c r="J33" s="926"/>
      <c r="K33" s="926"/>
      <c r="L33" s="926"/>
      <c r="M33" s="927"/>
      <c r="O33" s="565"/>
    </row>
    <row r="34" spans="2:17" s="351" customFormat="1" ht="15" customHeight="1" thickTop="1">
      <c r="C34" s="566" t="s">
        <v>332</v>
      </c>
      <c r="D34" s="567"/>
      <c r="E34" s="566">
        <v>4</v>
      </c>
      <c r="F34" s="568" t="s">
        <v>58</v>
      </c>
      <c r="G34" s="569"/>
      <c r="H34" s="570" t="s">
        <v>58</v>
      </c>
      <c r="I34" s="919"/>
      <c r="J34" s="920"/>
      <c r="K34" s="920"/>
      <c r="L34" s="920"/>
      <c r="M34" s="921"/>
      <c r="O34" s="565"/>
    </row>
    <row r="35" spans="2:17" s="351" customFormat="1" ht="15" customHeight="1">
      <c r="C35" s="571" t="s">
        <v>333</v>
      </c>
      <c r="D35" s="572"/>
      <c r="E35" s="566">
        <v>2</v>
      </c>
      <c r="F35" s="572" t="s">
        <v>58</v>
      </c>
      <c r="G35" s="573"/>
      <c r="H35" s="574" t="s">
        <v>58</v>
      </c>
      <c r="I35" s="888"/>
      <c r="J35" s="889"/>
      <c r="K35" s="889"/>
      <c r="L35" s="889"/>
      <c r="M35" s="890"/>
      <c r="O35" s="565"/>
    </row>
    <row r="36" spans="2:17" s="351" customFormat="1" ht="15" customHeight="1">
      <c r="C36" s="571" t="s">
        <v>55</v>
      </c>
      <c r="D36" s="572"/>
      <c r="E36" s="566">
        <v>8</v>
      </c>
      <c r="F36" s="572" t="s">
        <v>58</v>
      </c>
      <c r="G36" s="573"/>
      <c r="H36" s="574" t="s">
        <v>58</v>
      </c>
      <c r="I36" s="888"/>
      <c r="J36" s="889"/>
      <c r="K36" s="889"/>
      <c r="L36" s="889"/>
      <c r="M36" s="890"/>
      <c r="O36" s="565"/>
      <c r="Q36" s="523"/>
    </row>
    <row r="37" spans="2:17" s="351" customFormat="1" ht="15" customHeight="1">
      <c r="C37" s="571" t="s">
        <v>56</v>
      </c>
      <c r="D37" s="572"/>
      <c r="E37" s="566">
        <v>5</v>
      </c>
      <c r="F37" s="572" t="s">
        <v>57</v>
      </c>
      <c r="G37" s="573"/>
      <c r="H37" s="574" t="s">
        <v>57</v>
      </c>
      <c r="I37" s="888"/>
      <c r="J37" s="889"/>
      <c r="K37" s="889"/>
      <c r="L37" s="889"/>
      <c r="M37" s="890"/>
      <c r="O37" s="565"/>
      <c r="Q37" s="523"/>
    </row>
    <row r="38" spans="2:17" s="351" customFormat="1" ht="15" customHeight="1">
      <c r="C38" s="571" t="s">
        <v>331</v>
      </c>
      <c r="D38" s="572"/>
      <c r="E38" s="575">
        <v>0.4</v>
      </c>
      <c r="F38" s="572" t="s">
        <v>95</v>
      </c>
      <c r="G38" s="573"/>
      <c r="H38" s="574" t="s">
        <v>95</v>
      </c>
      <c r="I38" s="888"/>
      <c r="J38" s="889"/>
      <c r="K38" s="889"/>
      <c r="L38" s="889"/>
      <c r="M38" s="890"/>
      <c r="O38" s="565"/>
      <c r="Q38" s="523"/>
    </row>
    <row r="39" spans="2:17" s="351" customFormat="1" ht="15" customHeight="1">
      <c r="C39" s="571" t="s">
        <v>334</v>
      </c>
      <c r="D39" s="572"/>
      <c r="E39" s="571">
        <v>0.2</v>
      </c>
      <c r="F39" s="572" t="s">
        <v>95</v>
      </c>
      <c r="G39" s="573"/>
      <c r="H39" s="574" t="s">
        <v>95</v>
      </c>
      <c r="I39" s="888"/>
      <c r="J39" s="889"/>
      <c r="K39" s="889"/>
      <c r="L39" s="889"/>
      <c r="M39" s="890"/>
      <c r="O39" s="565"/>
      <c r="Q39" s="523"/>
    </row>
    <row r="40" spans="2:17" s="351" customFormat="1" ht="15" customHeight="1">
      <c r="C40" s="576" t="s">
        <v>335</v>
      </c>
      <c r="D40" s="577"/>
      <c r="E40" s="576">
        <v>0.2</v>
      </c>
      <c r="F40" s="577" t="s">
        <v>114</v>
      </c>
      <c r="G40" s="578"/>
      <c r="H40" s="579" t="s">
        <v>114</v>
      </c>
      <c r="I40" s="911"/>
      <c r="J40" s="912"/>
      <c r="K40" s="912"/>
      <c r="L40" s="912"/>
      <c r="M40" s="913"/>
      <c r="O40" s="565"/>
    </row>
    <row r="41" spans="2:17" s="351" customFormat="1" ht="15" customHeight="1">
      <c r="O41" s="565"/>
      <c r="Q41" s="580"/>
    </row>
    <row r="42" spans="2:17" s="351" customFormat="1" ht="16.5" customHeight="1">
      <c r="C42" s="935" t="s">
        <v>336</v>
      </c>
      <c r="D42" s="936"/>
      <c r="E42" s="954" t="s">
        <v>60</v>
      </c>
      <c r="F42" s="955"/>
      <c r="G42" s="955" t="s">
        <v>61</v>
      </c>
      <c r="H42" s="956"/>
      <c r="I42" s="928" t="s">
        <v>346</v>
      </c>
      <c r="J42" s="929"/>
      <c r="K42" s="929"/>
      <c r="L42" s="929"/>
      <c r="M42" s="930"/>
      <c r="O42" s="565"/>
    </row>
    <row r="43" spans="2:17" s="351" customFormat="1" ht="15" customHeight="1">
      <c r="C43" s="937"/>
      <c r="D43" s="938"/>
      <c r="E43" s="957">
        <v>0.75</v>
      </c>
      <c r="F43" s="958"/>
      <c r="G43" s="959"/>
      <c r="H43" s="960"/>
      <c r="I43" s="914"/>
      <c r="J43" s="915"/>
      <c r="K43" s="915"/>
      <c r="L43" s="915"/>
      <c r="M43" s="916"/>
      <c r="O43" s="565"/>
    </row>
    <row r="44" spans="2:17" s="351" customFormat="1" ht="12">
      <c r="E44" s="581"/>
      <c r="I44" s="520"/>
      <c r="J44" s="520"/>
      <c r="K44" s="520"/>
      <c r="L44" s="520"/>
      <c r="M44" s="520"/>
      <c r="O44" s="565"/>
    </row>
    <row r="45" spans="2:17" s="351" customFormat="1" ht="12">
      <c r="O45" s="565"/>
    </row>
    <row r="46" spans="2:17" s="351" customFormat="1" ht="18" customHeight="1" thickBot="1">
      <c r="B46" s="328" t="s">
        <v>290</v>
      </c>
      <c r="C46" s="521"/>
      <c r="D46" s="521"/>
      <c r="E46" s="521"/>
      <c r="F46" s="521"/>
      <c r="G46" s="521"/>
      <c r="H46" s="521"/>
      <c r="I46" s="521"/>
      <c r="J46" s="521"/>
      <c r="K46" s="521"/>
      <c r="L46" s="521"/>
      <c r="M46" s="521"/>
      <c r="N46" s="520"/>
    </row>
    <row r="47" spans="2:17" ht="19.5" customHeight="1">
      <c r="B47" s="582" t="s">
        <v>263</v>
      </c>
    </row>
    <row r="48" spans="2:17" ht="9.75" customHeight="1">
      <c r="C48" s="583"/>
      <c r="D48" s="583"/>
    </row>
    <row r="49" spans="3:16" ht="14.25" customHeight="1">
      <c r="C49" s="895"/>
      <c r="D49" s="896"/>
      <c r="E49" s="950" t="s">
        <v>423</v>
      </c>
      <c r="F49" s="951"/>
      <c r="G49" s="950" t="s">
        <v>424</v>
      </c>
      <c r="H49" s="951"/>
      <c r="I49" s="950" t="s">
        <v>425</v>
      </c>
      <c r="J49" s="951"/>
      <c r="K49" s="907" t="s">
        <v>248</v>
      </c>
      <c r="L49" s="907" t="s">
        <v>382</v>
      </c>
      <c r="O49" s="867" t="s">
        <v>301</v>
      </c>
    </row>
    <row r="50" spans="3:16" ht="15.75" customHeight="1" thickBot="1">
      <c r="C50" s="897" t="s">
        <v>91</v>
      </c>
      <c r="D50" s="898"/>
      <c r="E50" s="989" t="s">
        <v>422</v>
      </c>
      <c r="F50" s="990"/>
      <c r="G50" s="989" t="s">
        <v>422</v>
      </c>
      <c r="H50" s="990"/>
      <c r="I50" s="989" t="s">
        <v>422</v>
      </c>
      <c r="J50" s="990"/>
      <c r="K50" s="908"/>
      <c r="L50" s="908"/>
      <c r="O50" s="868" t="s">
        <v>301</v>
      </c>
    </row>
    <row r="51" spans="3:16" s="351" customFormat="1" ht="15" customHeight="1" thickTop="1">
      <c r="C51" s="905" t="str">
        <f>C13</f>
        <v>Kitchen Faucet</v>
      </c>
      <c r="D51" s="906"/>
      <c r="E51" s="991" t="str">
        <f>IFERROR('DB-Properties'!$N$2*365*(F13*H13+F14*H14)*IF(G34="",E34,G34),"")</f>
        <v/>
      </c>
      <c r="F51" s="992"/>
      <c r="G51" s="991" t="str">
        <f>IFERROR('DB-Properties'!$N$2*365*IF(G34="",E34,G34)*((F14*J14)+(F13*(J13*IF($G$43="",$E$43,$G$43)+H13*(1-IF($G$43="",$E$43,$G$43))))),"")</f>
        <v/>
      </c>
      <c r="H51" s="992"/>
      <c r="I51" s="991" t="str">
        <f>IFERROR(E51-G51,"")</f>
        <v/>
      </c>
      <c r="J51" s="992"/>
      <c r="K51" s="584" t="str">
        <f t="shared" ref="K51:K62" si="0">IFERROR((G51-E51)/E51, "")</f>
        <v/>
      </c>
      <c r="L51" s="584" t="str">
        <f t="shared" ref="L51:L57" si="1">IFERROR((G51-E51)/$E$64, "")</f>
        <v/>
      </c>
      <c r="N51" s="520"/>
      <c r="O51" s="986" t="str">
        <f>IFERROR(IF(ROUND(ABS(E63/E64)*100,0)&gt;10, "Calculated consumption differs from reported water utility consumption by over 10%. ",""),"")</f>
        <v/>
      </c>
      <c r="P51" s="210"/>
    </row>
    <row r="52" spans="3:16" s="351" customFormat="1" ht="15" customHeight="1">
      <c r="C52" s="903" t="str">
        <f>C15</f>
        <v>Bathroom Faucet</v>
      </c>
      <c r="D52" s="904"/>
      <c r="E52" s="984" t="str">
        <f>IFERROR('DB-Properties'!$N$2*365*(F15*H15+F16*H16)*IF(G35="",E35,G35),"")</f>
        <v/>
      </c>
      <c r="F52" s="985"/>
      <c r="G52" s="984" t="str">
        <f>IFERROR('DB-Properties'!$N$2*365*IF(G35="",E35,G35)*((F16*J16)+(F15*(J15*IF($G$43="",$E$43,$G$43)+H15*(1-IF($G$43="",$E$43,$G$43))))),"")</f>
        <v/>
      </c>
      <c r="H52" s="985"/>
      <c r="I52" s="984" t="str">
        <f t="shared" ref="I52:I57" si="2">IFERROR(E52-G52,"")</f>
        <v/>
      </c>
      <c r="J52" s="985"/>
      <c r="K52" s="585" t="str">
        <f t="shared" si="0"/>
        <v/>
      </c>
      <c r="L52" s="584" t="str">
        <f t="shared" si="1"/>
        <v/>
      </c>
      <c r="N52" s="520"/>
      <c r="O52" s="987"/>
      <c r="P52" s="210"/>
    </row>
    <row r="53" spans="3:16" ht="15" customHeight="1">
      <c r="C53" s="903" t="str">
        <f>C17</f>
        <v>Showerhead</v>
      </c>
      <c r="D53" s="904"/>
      <c r="E53" s="984" t="str">
        <f>IFERROR((F17*H17+F18*H18)*'DB-Properties'!$N$2*IF(G36="",E36,G36)*365,"")</f>
        <v/>
      </c>
      <c r="F53" s="985"/>
      <c r="G53" s="984" t="str">
        <f>IFERROR('DB-Properties'!$N$2*365*IF(G36="",E36,G36)*((F18*J18)+(F17*(J17*IF($G$43="",$E$43,$G$43)+H17*(1-IF($G$43="",$E$43,$G$43))))),"")</f>
        <v/>
      </c>
      <c r="H53" s="985"/>
      <c r="I53" s="984" t="str">
        <f t="shared" si="2"/>
        <v/>
      </c>
      <c r="J53" s="985"/>
      <c r="K53" s="585" t="str">
        <f t="shared" si="0"/>
        <v/>
      </c>
      <c r="L53" s="584" t="str">
        <f t="shared" si="1"/>
        <v/>
      </c>
      <c r="O53" s="987"/>
    </row>
    <row r="54" spans="3:16" ht="15" customHeight="1">
      <c r="C54" s="903" t="str">
        <f>C19</f>
        <v>Toilet</v>
      </c>
      <c r="D54" s="904"/>
      <c r="E54" s="984" t="str">
        <f>IFERROR((F19*H19+F20*H20)*'DB-Properties'!$N$2*IF(G37="",E37,G37)*365,"")</f>
        <v/>
      </c>
      <c r="F54" s="985"/>
      <c r="G54" s="984" t="str">
        <f>IFERROR((F19*J19+F20*J20)*'DB-Properties'!$N$2*IF(G37="",E37,G37)*365,"")</f>
        <v/>
      </c>
      <c r="H54" s="985"/>
      <c r="I54" s="984" t="str">
        <f t="shared" si="2"/>
        <v/>
      </c>
      <c r="J54" s="985"/>
      <c r="K54" s="585" t="str">
        <f t="shared" si="0"/>
        <v/>
      </c>
      <c r="L54" s="584" t="str">
        <f t="shared" si="1"/>
        <v/>
      </c>
      <c r="O54" s="988"/>
    </row>
    <row r="55" spans="3:16" ht="15" customHeight="1">
      <c r="C55" s="899" t="s">
        <v>98</v>
      </c>
      <c r="D55" s="900"/>
      <c r="E55" s="984" t="str">
        <f>IF(COUNT(F21:H22)=0,"",IFERROR((F21*H21+F22*H22)*'DB-Properties'!$N$2*IF(G38="",E38,G38)*365,""))</f>
        <v/>
      </c>
      <c r="F55" s="985"/>
      <c r="G55" s="984" t="str">
        <f>IFERROR( (F21*J21+F22*J22)*'DB-Properties'!$N$2*IF(G38="",E38,G38)*365,"")</f>
        <v/>
      </c>
      <c r="H55" s="985"/>
      <c r="I55" s="984" t="str">
        <f t="shared" si="2"/>
        <v/>
      </c>
      <c r="J55" s="985"/>
      <c r="K55" s="584" t="str">
        <f t="shared" si="0"/>
        <v/>
      </c>
      <c r="L55" s="584" t="str">
        <f t="shared" si="1"/>
        <v/>
      </c>
    </row>
    <row r="56" spans="3:16" ht="15" customHeight="1">
      <c r="C56" s="899" t="s">
        <v>99</v>
      </c>
      <c r="D56" s="900"/>
      <c r="E56" s="984" t="str">
        <f>IF(COUNT(F23:H24)=0,"",IFERROR((F23*H23+F24*H24)*'DB-Properties'!$N$2*IF(G39="",E39,G39)*365,""))</f>
        <v/>
      </c>
      <c r="F56" s="985"/>
      <c r="G56" s="984" t="str">
        <f>IFERROR( (F23*J23+F24*J24)*'DB-Properties'!$N$2*IF(G39="",E39,G39)*365,"")</f>
        <v/>
      </c>
      <c r="H56" s="985"/>
      <c r="I56" s="984" t="str">
        <f t="shared" si="2"/>
        <v/>
      </c>
      <c r="J56" s="985"/>
      <c r="K56" s="584" t="str">
        <f t="shared" si="0"/>
        <v/>
      </c>
      <c r="L56" s="584" t="str">
        <f t="shared" si="1"/>
        <v/>
      </c>
    </row>
    <row r="57" spans="3:16" ht="15" customHeight="1">
      <c r="C57" s="899" t="s">
        <v>108</v>
      </c>
      <c r="D57" s="900"/>
      <c r="E57" s="984" t="str">
        <f>IFERROR((F25*H25+F26*H26)*'DB-Properties'!$N$2*IF(G40="",E40,G40)*365,"")</f>
        <v/>
      </c>
      <c r="F57" s="985"/>
      <c r="G57" s="984" t="str">
        <f>IFERROR( (F25*J25+F26*J26)*'DB-Properties'!$N$2*IF(G40="",E40,G40)*365,"")</f>
        <v/>
      </c>
      <c r="H57" s="985"/>
      <c r="I57" s="984" t="str">
        <f t="shared" si="2"/>
        <v/>
      </c>
      <c r="J57" s="985"/>
      <c r="K57" s="584" t="str">
        <f t="shared" si="0"/>
        <v/>
      </c>
      <c r="L57" s="584" t="str">
        <f t="shared" si="1"/>
        <v/>
      </c>
      <c r="O57" s="586"/>
    </row>
    <row r="58" spans="3:16" ht="15" customHeight="1">
      <c r="C58" s="899" t="s">
        <v>30</v>
      </c>
      <c r="D58" s="900"/>
      <c r="E58" s="993" t="str">
        <f>IF('Input-Utilities'!F43="","",'Input-Utilities'!F43*INDEX(Assumptions!$D$24:$D$27,MATCH('Input-Utilities'!J43,Assumptions!$C$24:$C$27,0)))</f>
        <v/>
      </c>
      <c r="F58" s="994"/>
      <c r="G58" s="917"/>
      <c r="H58" s="918"/>
      <c r="I58" s="984" t="str">
        <f>IF(AND(E58="",G58=""),"",IFERROR(E58-G58,""))</f>
        <v/>
      </c>
      <c r="J58" s="985"/>
      <c r="K58" s="584" t="str">
        <f t="shared" si="0"/>
        <v/>
      </c>
      <c r="L58" s="584" t="str">
        <f>IF(AND(E58="",G58=""),"",IFERROR((G58-E58)/$E$64, ""))</f>
        <v/>
      </c>
    </row>
    <row r="59" spans="3:16" ht="15" customHeight="1">
      <c r="C59" s="901"/>
      <c r="D59" s="902"/>
      <c r="E59" s="917"/>
      <c r="F59" s="918"/>
      <c r="G59" s="917"/>
      <c r="H59" s="918"/>
      <c r="I59" s="984" t="str">
        <f t="shared" ref="I59:I62" si="3">IF(AND(E59="",G59=""),"",IFERROR(E59-G59,""))</f>
        <v/>
      </c>
      <c r="J59" s="985"/>
      <c r="K59" s="585" t="str">
        <f t="shared" si="0"/>
        <v/>
      </c>
      <c r="L59" s="584" t="str">
        <f t="shared" ref="L59:L62" si="4">IF(AND(E59="",G59=""),"",IFERROR((G59-E59)/$E$64, ""))</f>
        <v/>
      </c>
    </row>
    <row r="60" spans="3:16" ht="15" customHeight="1">
      <c r="C60" s="901"/>
      <c r="D60" s="902"/>
      <c r="E60" s="917"/>
      <c r="F60" s="918"/>
      <c r="G60" s="917"/>
      <c r="H60" s="918"/>
      <c r="I60" s="984" t="str">
        <f t="shared" si="3"/>
        <v/>
      </c>
      <c r="J60" s="985"/>
      <c r="K60" s="585" t="str">
        <f t="shared" si="0"/>
        <v/>
      </c>
      <c r="L60" s="584" t="str">
        <f t="shared" si="4"/>
        <v/>
      </c>
    </row>
    <row r="61" spans="3:16" ht="15" customHeight="1">
      <c r="C61" s="901"/>
      <c r="D61" s="902"/>
      <c r="E61" s="917"/>
      <c r="F61" s="918"/>
      <c r="G61" s="917"/>
      <c r="H61" s="918"/>
      <c r="I61" s="984" t="str">
        <f t="shared" si="3"/>
        <v/>
      </c>
      <c r="J61" s="985"/>
      <c r="K61" s="585" t="str">
        <f t="shared" si="0"/>
        <v/>
      </c>
      <c r="L61" s="584" t="str">
        <f t="shared" si="4"/>
        <v/>
      </c>
    </row>
    <row r="62" spans="3:16" ht="15" customHeight="1">
      <c r="C62" s="901"/>
      <c r="D62" s="902"/>
      <c r="E62" s="917"/>
      <c r="F62" s="918"/>
      <c r="G62" s="917"/>
      <c r="H62" s="918"/>
      <c r="I62" s="984" t="str">
        <f t="shared" si="3"/>
        <v/>
      </c>
      <c r="J62" s="985"/>
      <c r="K62" s="585" t="str">
        <f t="shared" si="0"/>
        <v/>
      </c>
      <c r="L62" s="584" t="str">
        <f t="shared" si="4"/>
        <v/>
      </c>
    </row>
    <row r="63" spans="3:16" ht="15" customHeight="1">
      <c r="C63" s="891" t="str">
        <f>"Difference from Bills ("&amp;IFERROR(ROUND(E63/E64*100,0),"--")&amp;"%)"</f>
        <v>Difference from Bills (--%)</v>
      </c>
      <c r="D63" s="892"/>
      <c r="E63" s="995" t="str">
        <f>IFERROR(E64-SUM(E51:F62), "")</f>
        <v/>
      </c>
      <c r="F63" s="996"/>
      <c r="G63" s="995" t="str">
        <f>E63</f>
        <v/>
      </c>
      <c r="H63" s="996"/>
      <c r="I63" s="995" t="str">
        <f>IFERROR(E63-G63,"")</f>
        <v/>
      </c>
      <c r="J63" s="996"/>
      <c r="K63" s="587" t="s">
        <v>23</v>
      </c>
      <c r="L63" s="587" t="s">
        <v>23</v>
      </c>
    </row>
    <row r="64" spans="3:16" ht="15">
      <c r="C64" s="893" t="s">
        <v>76</v>
      </c>
      <c r="D64" s="894"/>
      <c r="E64" s="982" t="str">
        <f>IFERROR('Input-Utilities'!L15*1000,"")</f>
        <v/>
      </c>
      <c r="F64" s="983"/>
      <c r="G64" s="982">
        <f>SUM(G51:H63)</f>
        <v>0</v>
      </c>
      <c r="H64" s="983"/>
      <c r="I64" s="982" t="str">
        <f>IFERROR(E64-G64,"")</f>
        <v/>
      </c>
      <c r="J64" s="983"/>
      <c r="K64" s="909" t="str">
        <f>IFERROR((G64-E64)/E64, "")</f>
        <v/>
      </c>
      <c r="L64" s="910"/>
    </row>
    <row r="65" spans="9:13">
      <c r="M65" s="360"/>
    </row>
    <row r="67" spans="9:13">
      <c r="I67" s="588"/>
    </row>
  </sheetData>
  <sheetProtection algorithmName="SHA-512" hashValue="WXOvgttaG+VglmptiTlEzMV6+jdeqyGExMCv16vQazhMcl7mrPiD0v8yNi7Z0uMTr7/3PWUTFX8fOw/CK97DUg==" saltValue="WR4CNnjHiY7t3piY8rrYhg==" spinCount="100000" sheet="1" objects="1" scenarios="1"/>
  <mergeCells count="123">
    <mergeCell ref="E59:F59"/>
    <mergeCell ref="I63:J63"/>
    <mergeCell ref="I64:J64"/>
    <mergeCell ref="I49:J49"/>
    <mergeCell ref="I50:J50"/>
    <mergeCell ref="I51:J51"/>
    <mergeCell ref="I52:J52"/>
    <mergeCell ref="I53:J53"/>
    <mergeCell ref="I54:J54"/>
    <mergeCell ref="I55:J55"/>
    <mergeCell ref="I56:J56"/>
    <mergeCell ref="I57:J57"/>
    <mergeCell ref="I59:J59"/>
    <mergeCell ref="I60:J60"/>
    <mergeCell ref="I61:J61"/>
    <mergeCell ref="I62:J62"/>
    <mergeCell ref="E63:F63"/>
    <mergeCell ref="E64:F64"/>
    <mergeCell ref="G49:H49"/>
    <mergeCell ref="G50:H50"/>
    <mergeCell ref="G51:H51"/>
    <mergeCell ref="G52:H52"/>
    <mergeCell ref="G53:H53"/>
    <mergeCell ref="G54:H54"/>
    <mergeCell ref="G64:H64"/>
    <mergeCell ref="E54:F54"/>
    <mergeCell ref="E55:F55"/>
    <mergeCell ref="O51:O54"/>
    <mergeCell ref="E49:F49"/>
    <mergeCell ref="E50:F50"/>
    <mergeCell ref="E51:F51"/>
    <mergeCell ref="E52:F52"/>
    <mergeCell ref="E53:F53"/>
    <mergeCell ref="O49:O50"/>
    <mergeCell ref="K49:K50"/>
    <mergeCell ref="I58:J58"/>
    <mergeCell ref="E56:F56"/>
    <mergeCell ref="E57:F57"/>
    <mergeCell ref="E58:F58"/>
    <mergeCell ref="G55:H55"/>
    <mergeCell ref="G56:H56"/>
    <mergeCell ref="G57:H57"/>
    <mergeCell ref="G58:H58"/>
    <mergeCell ref="G59:H59"/>
    <mergeCell ref="G60:H60"/>
    <mergeCell ref="G61:H61"/>
    <mergeCell ref="G62:H62"/>
    <mergeCell ref="G63:H63"/>
    <mergeCell ref="B4:M4"/>
    <mergeCell ref="F21:G21"/>
    <mergeCell ref="F23:G23"/>
    <mergeCell ref="C11:D12"/>
    <mergeCell ref="J11:K12"/>
    <mergeCell ref="H11:I12"/>
    <mergeCell ref="F24:G24"/>
    <mergeCell ref="F26:G26"/>
    <mergeCell ref="E11:E12"/>
    <mergeCell ref="F11:G12"/>
    <mergeCell ref="F13:G13"/>
    <mergeCell ref="F14:G14"/>
    <mergeCell ref="B9:M9"/>
    <mergeCell ref="O11:O12"/>
    <mergeCell ref="O21:O24"/>
    <mergeCell ref="O25:O26"/>
    <mergeCell ref="O19:O20"/>
    <mergeCell ref="O15:O16"/>
    <mergeCell ref="O17:O18"/>
    <mergeCell ref="O13:O14"/>
    <mergeCell ref="C17:C18"/>
    <mergeCell ref="C15:C16"/>
    <mergeCell ref="C13:C14"/>
    <mergeCell ref="F15:G15"/>
    <mergeCell ref="F16:G16"/>
    <mergeCell ref="F17:G17"/>
    <mergeCell ref="F18:G18"/>
    <mergeCell ref="I34:M34"/>
    <mergeCell ref="I32:M33"/>
    <mergeCell ref="I42:M42"/>
    <mergeCell ref="I35:M35"/>
    <mergeCell ref="C32:D33"/>
    <mergeCell ref="C42:D43"/>
    <mergeCell ref="F20:G20"/>
    <mergeCell ref="C25:C26"/>
    <mergeCell ref="C23:C24"/>
    <mergeCell ref="C21:C22"/>
    <mergeCell ref="C19:C20"/>
    <mergeCell ref="F19:G19"/>
    <mergeCell ref="F22:G22"/>
    <mergeCell ref="F25:G25"/>
    <mergeCell ref="E32:H32"/>
    <mergeCell ref="E33:F33"/>
    <mergeCell ref="G33:H33"/>
    <mergeCell ref="E42:F42"/>
    <mergeCell ref="G42:H42"/>
    <mergeCell ref="E43:F43"/>
    <mergeCell ref="G43:H43"/>
    <mergeCell ref="I36:M36"/>
    <mergeCell ref="I37:M37"/>
    <mergeCell ref="I38:M38"/>
    <mergeCell ref="I39:M39"/>
    <mergeCell ref="C63:D63"/>
    <mergeCell ref="C64:D64"/>
    <mergeCell ref="C49:D49"/>
    <mergeCell ref="C50:D50"/>
    <mergeCell ref="C58:D58"/>
    <mergeCell ref="C59:D59"/>
    <mergeCell ref="C60:D60"/>
    <mergeCell ref="C61:D61"/>
    <mergeCell ref="C62:D62"/>
    <mergeCell ref="C53:D53"/>
    <mergeCell ref="C54:D54"/>
    <mergeCell ref="C55:D55"/>
    <mergeCell ref="C56:D56"/>
    <mergeCell ref="C57:D57"/>
    <mergeCell ref="C51:D51"/>
    <mergeCell ref="C52:D52"/>
    <mergeCell ref="L49:L50"/>
    <mergeCell ref="K64:L64"/>
    <mergeCell ref="I40:M40"/>
    <mergeCell ref="I43:M43"/>
    <mergeCell ref="E60:F60"/>
    <mergeCell ref="E61:F61"/>
    <mergeCell ref="E62:F62"/>
  </mergeCells>
  <conditionalFormatting sqref="E59:E62 G58:G62">
    <cfRule type="expression" dxfId="17" priority="12">
      <formula>AND($C58&lt;&gt;"", E58="")</formula>
    </cfRule>
  </conditionalFormatting>
  <conditionalFormatting sqref="J13 J21 J25 J23 E25:G26 J17 J15 H13:H20 J19 E21:H21 E23:H23 E22 H22 E24 H24:H25">
    <cfRule type="expression" dxfId="16" priority="11">
      <formula>E13=""</formula>
    </cfRule>
  </conditionalFormatting>
  <conditionalFormatting sqref="E13:G20">
    <cfRule type="expression" dxfId="15" priority="6">
      <formula>E13=""</formula>
    </cfRule>
  </conditionalFormatting>
  <conditionalFormatting sqref="I43 I34:I40">
    <cfRule type="expression" dxfId="14" priority="53">
      <formula>AND($G34&lt;&gt;"",$I34="")</formula>
    </cfRule>
  </conditionalFormatting>
  <conditionalFormatting sqref="H26">
    <cfRule type="expression" dxfId="13" priority="4">
      <formula>H26=""</formula>
    </cfRule>
  </conditionalFormatting>
  <conditionalFormatting sqref="F22:G22">
    <cfRule type="expression" dxfId="12" priority="3">
      <formula>F22=""</formula>
    </cfRule>
  </conditionalFormatting>
  <conditionalFormatting sqref="F24:G24">
    <cfRule type="expression" dxfId="11" priority="2">
      <formula>F24=""</formula>
    </cfRule>
  </conditionalFormatting>
  <dataValidations xWindow="1331" yWindow="279" count="6">
    <dataValidation type="list" allowBlank="1" showInputMessage="1" showErrorMessage="1" sqref="C17 C15 C13">
      <formula1>$B$58:$B$61</formula1>
    </dataValidation>
    <dataValidation type="decimal" operator="greaterThanOrEqual" allowBlank="1" showInputMessage="1" showErrorMessage="1" sqref="E13:H26 J25 G34:G40 J17 J19 J21 J23">
      <formula1>0</formula1>
    </dataValidation>
    <dataValidation type="decimal" allowBlank="1" showInputMessage="1" showErrorMessage="1" sqref="G43:H43">
      <formula1>0</formula1>
      <formula2>1</formula2>
    </dataValidation>
    <dataValidation type="decimal" operator="greaterThanOrEqual" allowBlank="1" showInputMessage="1" showErrorMessage="1" error="Flow rates less than 1.0 GPM not permitted for this EWEM." sqref="J13">
      <formula1>1</formula1>
    </dataValidation>
    <dataValidation type="decimal" operator="greaterThanOrEqual" allowBlank="1" showInputMessage="1" showErrorMessage="1" error="Flow rates less than 0.8 GPM not permitted for this EWEM. Faucets/aerators must be WaterSense labeled." sqref="J15">
      <formula1>0.8</formula1>
    </dataValidation>
    <dataValidation type="decimal" operator="lessThan" allowBlank="1" showInputMessage="1" showErrorMessage="1" sqref="E59:H62 G58:H58">
      <formula1>$E$64</formula1>
    </dataValidation>
  </dataValidations>
  <pageMargins left="0.7" right="0.7" top="0.75" bottom="0.75" header="0.3" footer="0.3"/>
  <pageSetup paperSize="5" scale="84" orientation="landscape" r:id="rId1"/>
  <headerFooter>
    <oddFooter>&amp;L&amp;"Source Sans Pro,Regular"&amp;8© 2019 Fannie Mae. Trademarks of Fannie Mae.&amp;C&amp;"Source Sans Pro,Regular"&amp;8Form 4099.H - September 2019&amp;R&amp;"Source Sans Pro,Regular"&amp;8Page &amp;P of &amp;N</oddFooter>
  </headerFooter>
  <legacyDrawing r:id="rId2"/>
  <extLst>
    <ext xmlns:x14="http://schemas.microsoft.com/office/spreadsheetml/2009/9/main" uri="{CCE6A557-97BC-4b89-ADB6-D9C93CAAB3DF}">
      <x14:dataValidations xmlns:xm="http://schemas.microsoft.com/office/excel/2006/main" xWindow="1331" yWindow="279" count="2">
        <x14:dataValidation type="list" allowBlank="1" showInputMessage="1" showErrorMessage="1">
          <x14:formula1>
            <xm:f>Assumptions!$B$41:$B$44</xm:f>
          </x14:formula1>
          <xm:sqref>C19</xm:sqref>
        </x14:dataValidation>
        <x14:dataValidation type="list" allowBlank="1" showInputMessage="1" showErrorMessage="1">
          <x14:formula1>
            <xm:f>Dropdowns!$O$3:$O$8</xm:f>
          </x14:formula1>
          <xm:sqref>C59:D62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autoPageBreaks="0"/>
  </sheetPr>
  <dimension ref="A1:L34"/>
  <sheetViews>
    <sheetView showGridLines="0" zoomScale="90" zoomScaleNormal="90" workbookViewId="0">
      <selection activeCell="G28" sqref="G28"/>
    </sheetView>
  </sheetViews>
  <sheetFormatPr defaultColWidth="9.28515625" defaultRowHeight="14.25"/>
  <cols>
    <col min="1" max="2" width="2.28515625" style="210" customWidth="1"/>
    <col min="3" max="3" width="16.7109375" style="210" customWidth="1"/>
    <col min="4" max="10" width="13.7109375" style="210" customWidth="1"/>
    <col min="11" max="11" width="18.5703125" style="210" customWidth="1"/>
    <col min="12" max="12" width="20.5703125" style="210" customWidth="1"/>
    <col min="13" max="16384" width="9.28515625" style="210"/>
  </cols>
  <sheetData>
    <row r="1" spans="1:12" s="187" customFormat="1" ht="23.25" customHeight="1">
      <c r="A1" s="188"/>
      <c r="B1" s="185" t="s">
        <v>367</v>
      </c>
      <c r="C1" s="186"/>
      <c r="D1" s="186"/>
      <c r="E1" s="186"/>
      <c r="F1" s="186"/>
      <c r="G1" s="186"/>
      <c r="H1" s="186"/>
      <c r="I1" s="186"/>
    </row>
    <row r="2" spans="1:12" s="187" customFormat="1" ht="15" customHeight="1">
      <c r="C2" s="207"/>
      <c r="D2" s="207"/>
      <c r="E2" s="207"/>
      <c r="F2" s="207"/>
      <c r="G2" s="207"/>
      <c r="H2" s="207"/>
      <c r="I2" s="207"/>
      <c r="J2" s="207"/>
    </row>
    <row r="3" spans="1:12" s="188" customFormat="1" ht="26.25">
      <c r="B3" s="208" t="s">
        <v>645</v>
      </c>
      <c r="G3" s="186"/>
    </row>
    <row r="4" spans="1:12" s="187" customFormat="1" ht="45" customHeight="1">
      <c r="A4" s="188"/>
      <c r="B4" s="871" t="s">
        <v>820</v>
      </c>
      <c r="C4" s="871"/>
      <c r="D4" s="871"/>
      <c r="E4" s="871"/>
      <c r="F4" s="871"/>
      <c r="G4" s="871"/>
      <c r="H4" s="871"/>
      <c r="I4" s="871"/>
      <c r="J4" s="871"/>
    </row>
    <row r="5" spans="1:12" ht="21" customHeight="1">
      <c r="B5" s="360"/>
      <c r="C5" s="360"/>
      <c r="D5" s="360"/>
      <c r="E5" s="360"/>
      <c r="F5" s="360"/>
      <c r="G5" s="186"/>
      <c r="H5" s="360"/>
      <c r="I5" s="360"/>
    </row>
    <row r="6" spans="1:12" ht="18.75" thickBot="1">
      <c r="B6" s="328" t="s">
        <v>644</v>
      </c>
      <c r="C6" s="329"/>
      <c r="D6" s="329"/>
      <c r="E6" s="329"/>
      <c r="F6" s="329"/>
      <c r="G6" s="329"/>
      <c r="H6" s="329"/>
      <c r="I6" s="329"/>
      <c r="J6" s="329"/>
    </row>
    <row r="7" spans="1:12" ht="17.25" customHeight="1">
      <c r="C7" s="375"/>
      <c r="D7" s="589"/>
      <c r="E7" s="375"/>
      <c r="F7" s="375"/>
      <c r="G7" s="375"/>
      <c r="H7" s="375"/>
      <c r="I7" s="375"/>
      <c r="J7" s="378"/>
      <c r="K7" s="351"/>
    </row>
    <row r="8" spans="1:12" ht="37.5" customHeight="1">
      <c r="B8" s="360"/>
      <c r="C8" s="997" t="s">
        <v>821</v>
      </c>
      <c r="D8" s="997"/>
      <c r="E8" s="997"/>
      <c r="K8" s="351"/>
    </row>
    <row r="9" spans="1:12" ht="9.75" customHeight="1">
      <c r="B9" s="360"/>
      <c r="F9" s="360"/>
      <c r="H9" s="338"/>
      <c r="I9" s="590"/>
      <c r="K9" s="351"/>
    </row>
    <row r="10" spans="1:12" ht="17.25" customHeight="1">
      <c r="B10" s="360"/>
      <c r="C10" s="591"/>
      <c r="D10" s="592"/>
      <c r="F10" s="593" t="s">
        <v>703</v>
      </c>
      <c r="G10" s="998"/>
      <c r="H10" s="999"/>
      <c r="I10" s="999"/>
      <c r="J10" s="1000"/>
      <c r="K10" s="351"/>
    </row>
    <row r="11" spans="1:12" ht="17.25" customHeight="1">
      <c r="B11" s="360"/>
      <c r="C11" s="360"/>
      <c r="D11" s="360"/>
      <c r="E11" s="360"/>
      <c r="K11" s="351"/>
    </row>
    <row r="12" spans="1:12" ht="25.5" customHeight="1">
      <c r="E12" s="338" t="s">
        <v>693</v>
      </c>
      <c r="F12" s="594"/>
      <c r="G12" s="424" t="s">
        <v>509</v>
      </c>
      <c r="H12" s="213"/>
      <c r="L12" s="423"/>
    </row>
    <row r="13" spans="1:12" ht="25.5" customHeight="1">
      <c r="E13" s="338" t="s">
        <v>636</v>
      </c>
      <c r="F13" s="336"/>
      <c r="H13" s="213"/>
      <c r="L13" s="423"/>
    </row>
    <row r="14" spans="1:12" ht="16.5" customHeight="1">
      <c r="H14" s="213"/>
    </row>
    <row r="15" spans="1:12" ht="23.25" customHeight="1">
      <c r="C15" s="997" t="s">
        <v>640</v>
      </c>
      <c r="D15" s="997"/>
      <c r="E15" s="1001"/>
      <c r="F15" s="595"/>
      <c r="K15" s="351"/>
      <c r="L15" s="378"/>
    </row>
    <row r="16" spans="1:12" ht="12.75" customHeight="1">
      <c r="K16" s="351"/>
      <c r="L16" s="423"/>
    </row>
    <row r="17" spans="2:12" ht="24.75" customHeight="1">
      <c r="C17" s="1002" t="s">
        <v>766</v>
      </c>
      <c r="D17" s="1002"/>
      <c r="E17" s="1002"/>
      <c r="F17" s="1002"/>
      <c r="G17" s="1002"/>
      <c r="H17" s="1002"/>
      <c r="I17" s="1002"/>
      <c r="J17" s="1002"/>
      <c r="K17" s="423"/>
      <c r="L17" s="423"/>
    </row>
    <row r="18" spans="2:12" ht="20.25" customHeight="1">
      <c r="G18" s="375"/>
      <c r="H18" s="375"/>
      <c r="L18" s="213"/>
    </row>
    <row r="19" spans="2:12" ht="19.5" customHeight="1" thickBot="1">
      <c r="B19" s="328" t="s">
        <v>634</v>
      </c>
      <c r="C19" s="435"/>
      <c r="D19" s="436"/>
      <c r="E19" s="437"/>
      <c r="F19" s="438"/>
      <c r="G19" s="439"/>
      <c r="H19" s="329"/>
      <c r="I19" s="329"/>
      <c r="J19" s="441"/>
      <c r="L19" s="378"/>
    </row>
    <row r="20" spans="2:12" ht="19.5" customHeight="1">
      <c r="C20" s="418"/>
      <c r="D20" s="419"/>
      <c r="E20" s="420"/>
      <c r="F20" s="421"/>
      <c r="L20" s="378"/>
    </row>
    <row r="21" spans="2:12" ht="27" customHeight="1">
      <c r="E21" s="338" t="s">
        <v>637</v>
      </c>
      <c r="F21" s="335"/>
      <c r="G21" s="424"/>
      <c r="K21" s="423"/>
      <c r="L21" s="423"/>
    </row>
    <row r="22" spans="2:12" ht="27" customHeight="1">
      <c r="E22" s="338" t="s">
        <v>638</v>
      </c>
      <c r="F22" s="596"/>
      <c r="G22" s="424" t="s">
        <v>632</v>
      </c>
      <c r="K22" s="423"/>
      <c r="L22" s="423"/>
    </row>
    <row r="23" spans="2:12" ht="25.5" customHeight="1">
      <c r="E23" s="338" t="s">
        <v>670</v>
      </c>
      <c r="F23" s="597"/>
      <c r="G23" s="424" t="s">
        <v>639</v>
      </c>
      <c r="L23" s="423"/>
    </row>
    <row r="24" spans="2:12" ht="16.5" customHeight="1">
      <c r="E24" s="338"/>
      <c r="F24" s="598"/>
      <c r="G24" s="424"/>
      <c r="L24" s="423"/>
    </row>
    <row r="25" spans="2:12" ht="19.5" customHeight="1" thickBot="1">
      <c r="B25" s="328" t="s">
        <v>635</v>
      </c>
      <c r="C25" s="435"/>
      <c r="D25" s="436"/>
      <c r="E25" s="437"/>
      <c r="F25" s="438"/>
      <c r="G25" s="439"/>
      <c r="H25" s="329"/>
      <c r="I25" s="329"/>
      <c r="J25" s="441"/>
      <c r="L25" s="423"/>
    </row>
    <row r="27" spans="2:12" ht="35.1" customHeight="1">
      <c r="C27" s="997" t="s">
        <v>647</v>
      </c>
      <c r="D27" s="997"/>
      <c r="E27" s="997"/>
      <c r="F27" s="599"/>
    </row>
    <row r="28" spans="2:12" ht="35.1" customHeight="1">
      <c r="C28" s="997" t="s">
        <v>695</v>
      </c>
      <c r="D28" s="997"/>
      <c r="E28" s="997"/>
      <c r="F28" s="600"/>
    </row>
    <row r="29" spans="2:12" ht="12" customHeight="1">
      <c r="F29" s="601"/>
    </row>
    <row r="33" spans="3:4" ht="15.75">
      <c r="D33" s="375"/>
    </row>
    <row r="34" spans="3:4" ht="15.75">
      <c r="C34" s="375"/>
      <c r="D34" s="375"/>
    </row>
  </sheetData>
  <sheetProtection algorithmName="SHA-512" hashValue="gcGTJVi7LorAqwNhAQxn6ePqJNn5IMHY9YYtrcs40Gb0sAGjZ4FcJpCwm96p9jo1GWKP/5QERurrocT6lf5zuA==" saltValue="rWC5l2YhCzgh50cnSM92+w==" spinCount="100000" sheet="1" objects="1" scenarios="1"/>
  <mergeCells count="7">
    <mergeCell ref="C28:E28"/>
    <mergeCell ref="G10:J10"/>
    <mergeCell ref="B4:J4"/>
    <mergeCell ref="C8:E8"/>
    <mergeCell ref="C15:E15"/>
    <mergeCell ref="C17:J17"/>
    <mergeCell ref="C27:E27"/>
  </mergeCells>
  <conditionalFormatting sqref="F15">
    <cfRule type="expression" dxfId="10" priority="3">
      <formula>$F$15=""</formula>
    </cfRule>
  </conditionalFormatting>
  <conditionalFormatting sqref="F12:F13">
    <cfRule type="expression" dxfId="9" priority="2">
      <formula>F12=""</formula>
    </cfRule>
  </conditionalFormatting>
  <dataValidations count="2">
    <dataValidation type="decimal" operator="greaterThan" allowBlank="1" showInputMessage="1" showErrorMessage="1" sqref="F24">
      <formula1>0</formula1>
    </dataValidation>
    <dataValidation type="decimal" operator="greaterThanOrEqual" allowBlank="1" showInputMessage="1" showErrorMessage="1" sqref="F22:F23 F12">
      <formula1>0</formula1>
    </dataValidation>
  </dataValidations>
  <pageMargins left="0.7" right="0.7" top="0.75" bottom="0.75" header="0.3" footer="0.3"/>
  <pageSetup paperSize="5" scale="84" orientation="landscape" r:id="rId1"/>
  <headerFooter>
    <oddFooter>&amp;L&amp;"Source Sans Pro,Regular"&amp;8© 2019 Fannie Mae. Trademarks of Fannie Mae.&amp;C&amp;"Source Sans Pro,Regular"&amp;8Form 4099.H - September 2019&amp;R&amp;"Source Sans Pro,Regular"&amp;8Page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6" r:id="rId4" name="Check Box 4">
              <controlPr defaultSize="0" autoFill="0" autoLine="0" autoPict="0">
                <anchor moveWithCells="1">
                  <from>
                    <xdr:col>5</xdr:col>
                    <xdr:colOff>285750</xdr:colOff>
                    <xdr:row>7</xdr:row>
                    <xdr:rowOff>38100</xdr:rowOff>
                  </from>
                  <to>
                    <xdr:col>6</xdr:col>
                    <xdr:colOff>571500</xdr:colOff>
                    <xdr:row>7</xdr:row>
                    <xdr:rowOff>285750</xdr:rowOff>
                  </to>
                </anchor>
              </controlPr>
            </control>
          </mc:Choice>
        </mc:AlternateContent>
        <mc:AlternateContent xmlns:mc="http://schemas.openxmlformats.org/markup-compatibility/2006">
          <mc:Choice Requires="x14">
            <control shapeId="38917" r:id="rId5" name="Check Box 5">
              <controlPr defaultSize="0" autoFill="0" autoLine="0" autoPict="0">
                <anchor moveWithCells="1">
                  <from>
                    <xdr:col>7</xdr:col>
                    <xdr:colOff>895350</xdr:colOff>
                    <xdr:row>7</xdr:row>
                    <xdr:rowOff>38100</xdr:rowOff>
                  </from>
                  <to>
                    <xdr:col>9</xdr:col>
                    <xdr:colOff>876300</xdr:colOff>
                    <xdr:row>7</xdr:row>
                    <xdr:rowOff>285750</xdr:rowOff>
                  </to>
                </anchor>
              </controlPr>
            </control>
          </mc:Choice>
        </mc:AlternateContent>
        <mc:AlternateContent xmlns:mc="http://schemas.openxmlformats.org/markup-compatibility/2006">
          <mc:Choice Requires="x14">
            <control shapeId="38918" r:id="rId6" name="Check Box 6">
              <controlPr defaultSize="0" autoFill="0" autoLine="0" autoPict="0">
                <anchor moveWithCells="1">
                  <from>
                    <xdr:col>5</xdr:col>
                    <xdr:colOff>285750</xdr:colOff>
                    <xdr:row>7</xdr:row>
                    <xdr:rowOff>266700</xdr:rowOff>
                  </from>
                  <to>
                    <xdr:col>6</xdr:col>
                    <xdr:colOff>571500</xdr:colOff>
                    <xdr:row>8</xdr:row>
                    <xdr:rowOff>28575</xdr:rowOff>
                  </to>
                </anchor>
              </controlPr>
            </control>
          </mc:Choice>
        </mc:AlternateContent>
        <mc:AlternateContent xmlns:mc="http://schemas.openxmlformats.org/markup-compatibility/2006">
          <mc:Choice Requires="x14">
            <control shapeId="38919" r:id="rId7" name="Check Box 7">
              <controlPr defaultSize="0" autoFill="0" autoLine="0" autoPict="0">
                <anchor moveWithCells="1">
                  <from>
                    <xdr:col>6</xdr:col>
                    <xdr:colOff>838200</xdr:colOff>
                    <xdr:row>7</xdr:row>
                    <xdr:rowOff>257175</xdr:rowOff>
                  </from>
                  <to>
                    <xdr:col>7</xdr:col>
                    <xdr:colOff>857250</xdr:colOff>
                    <xdr:row>8</xdr:row>
                    <xdr:rowOff>19050</xdr:rowOff>
                  </to>
                </anchor>
              </controlPr>
            </control>
          </mc:Choice>
        </mc:AlternateContent>
        <mc:AlternateContent xmlns:mc="http://schemas.openxmlformats.org/markup-compatibility/2006">
          <mc:Choice Requires="x14">
            <control shapeId="38921" r:id="rId8" name="Check Box 9">
              <controlPr defaultSize="0" autoFill="0" autoLine="0" autoPict="0">
                <anchor moveWithCells="1">
                  <from>
                    <xdr:col>6</xdr:col>
                    <xdr:colOff>838200</xdr:colOff>
                    <xdr:row>7</xdr:row>
                    <xdr:rowOff>38100</xdr:rowOff>
                  </from>
                  <to>
                    <xdr:col>7</xdr:col>
                    <xdr:colOff>819150</xdr:colOff>
                    <xdr:row>7</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70F945F-AE85-4851-9A58-C4EFBCAE7B4D}">
            <xm:f>AND(F21="",'DB-Solar'!$G$2=FALSE,'DB-Solar'!$H$2=FALSE,'DB-Solar'!$I$2=FALSE,'DB-Solar'!$J$2=FALSE,'DB-Solar'!$K$2=FALSE,'DB-Solar'!$L$2="")</xm:f>
            <x14:dxf>
              <fill>
                <patternFill>
                  <bgColor rgb="FFFFFF99"/>
                </patternFill>
              </fill>
            </x14:dxf>
          </x14:cfRule>
          <xm:sqref>F21:F23 F27:F28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Dropdowns!$B$3:$B$4</xm:f>
          </x14:formula1>
          <xm:sqref>F15 F27:F28</xm:sqref>
        </x14:dataValidation>
        <x14:dataValidation type="list" allowBlank="1" showInputMessage="1" showErrorMessage="1">
          <x14:formula1>
            <xm:f>Dropdowns!$R$3:$R$6</xm:f>
          </x14:formula1>
          <xm:sqref>F21</xm:sqref>
        </x14:dataValidation>
        <x14:dataValidation type="list" operator="greaterThan" allowBlank="1" showInputMessage="1" showErrorMessage="1">
          <x14:formula1>
            <xm:f>Dropdowns!$Q$3:$Q$5</xm:f>
          </x14:formula1>
          <xm:sqref>F13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AH62"/>
  <sheetViews>
    <sheetView showGridLines="0" zoomScale="90" zoomScaleNormal="90" workbookViewId="0">
      <selection activeCell="T45" sqref="T45"/>
    </sheetView>
  </sheetViews>
  <sheetFormatPr defaultColWidth="9.28515625" defaultRowHeight="14.25"/>
  <cols>
    <col min="1" max="2" width="2.28515625" style="210" customWidth="1"/>
    <col min="3" max="3" width="7.28515625" style="210" customWidth="1"/>
    <col min="4" max="4" width="27.28515625" style="210" customWidth="1"/>
    <col min="5" max="5" width="31.5703125" style="210" customWidth="1"/>
    <col min="6" max="6" width="36.7109375" style="210" customWidth="1"/>
    <col min="7" max="7" width="11.42578125" style="210" customWidth="1"/>
    <col min="8" max="8" width="6.5703125" style="210" customWidth="1"/>
    <col min="9" max="9" width="9.28515625" style="210" customWidth="1"/>
    <col min="10" max="10" width="6.28515625" style="210" customWidth="1"/>
    <col min="11" max="17" width="11.7109375" style="210" customWidth="1"/>
    <col min="18" max="21" width="13.7109375" style="210" customWidth="1"/>
    <col min="22" max="28" width="11.28515625" style="210" hidden="1" customWidth="1"/>
    <col min="29" max="29" width="12.42578125" style="210" hidden="1" customWidth="1"/>
    <col min="30" max="30" width="17.28515625" style="210" hidden="1" customWidth="1"/>
    <col min="31" max="31" width="10.5703125" style="210" hidden="1" customWidth="1"/>
    <col min="32" max="32" width="10" style="210" customWidth="1"/>
    <col min="33" max="33" width="9.5703125" style="210" customWidth="1"/>
    <col min="34" max="16384" width="9.28515625" style="210"/>
  </cols>
  <sheetData>
    <row r="1" spans="1:34" s="187" customFormat="1" ht="23.25" customHeight="1">
      <c r="A1" s="188"/>
      <c r="B1" s="185" t="s">
        <v>367</v>
      </c>
      <c r="C1" s="186"/>
      <c r="D1" s="186"/>
      <c r="E1" s="186"/>
      <c r="F1" s="186"/>
      <c r="G1" s="186"/>
      <c r="H1" s="186"/>
      <c r="I1" s="186"/>
      <c r="J1" s="186"/>
      <c r="K1" s="186"/>
      <c r="R1" s="207"/>
    </row>
    <row r="2" spans="1:34" s="187" customFormat="1" ht="15" customHeight="1">
      <c r="C2" s="207"/>
      <c r="D2" s="207"/>
      <c r="E2" s="207"/>
      <c r="F2" s="207"/>
      <c r="G2" s="207"/>
      <c r="H2" s="207"/>
      <c r="I2" s="207"/>
      <c r="J2" s="207"/>
      <c r="K2" s="207"/>
      <c r="L2" s="207"/>
      <c r="M2" s="207"/>
      <c r="N2" s="207"/>
      <c r="O2" s="207"/>
      <c r="P2" s="207"/>
      <c r="Q2" s="207"/>
      <c r="R2" s="207"/>
    </row>
    <row r="3" spans="1:34" s="188" customFormat="1" ht="26.25">
      <c r="B3" s="208" t="s">
        <v>458</v>
      </c>
      <c r="H3" s="186"/>
    </row>
    <row r="4" spans="1:34">
      <c r="B4" s="360"/>
      <c r="C4" s="418"/>
      <c r="D4" s="420"/>
      <c r="E4" s="420"/>
      <c r="F4" s="486"/>
      <c r="G4" s="486"/>
      <c r="H4" s="486"/>
      <c r="I4" s="486"/>
      <c r="J4" s="486"/>
      <c r="K4" s="602"/>
      <c r="L4" s="602"/>
      <c r="M4" s="602"/>
      <c r="N4" s="602"/>
      <c r="O4" s="602"/>
      <c r="P4" s="360"/>
      <c r="Q4" s="360"/>
      <c r="R4" s="360"/>
      <c r="S4" s="360"/>
      <c r="T4" s="360"/>
      <c r="U4" s="360"/>
      <c r="V4" s="360"/>
      <c r="W4" s="360"/>
      <c r="X4" s="360"/>
      <c r="Y4" s="360"/>
      <c r="Z4" s="360"/>
      <c r="AA4" s="360"/>
      <c r="AB4" s="360"/>
      <c r="AC4" s="360"/>
      <c r="AD4" s="360"/>
      <c r="AE4" s="360"/>
      <c r="AF4" s="360"/>
      <c r="AG4" s="360"/>
      <c r="AH4" s="360"/>
    </row>
    <row r="5" spans="1:34" ht="18.75" thickBot="1">
      <c r="B5" s="328" t="s">
        <v>460</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row>
    <row r="6" spans="1:34" s="187" customFormat="1" ht="19.5" customHeight="1">
      <c r="A6" s="188"/>
      <c r="B6" s="871" t="s">
        <v>822</v>
      </c>
      <c r="C6" s="871"/>
      <c r="D6" s="871"/>
      <c r="E6" s="871"/>
      <c r="F6" s="871"/>
      <c r="G6" s="871"/>
      <c r="H6" s="871"/>
      <c r="I6" s="871"/>
      <c r="J6" s="871"/>
      <c r="K6" s="871"/>
      <c r="L6" s="871"/>
      <c r="M6" s="871"/>
      <c r="N6" s="871"/>
      <c r="O6" s="871"/>
      <c r="P6" s="871"/>
      <c r="Q6" s="871"/>
      <c r="R6" s="871"/>
      <c r="S6" s="871"/>
    </row>
    <row r="7" spans="1:34" ht="10.5" customHeight="1">
      <c r="C7" s="330"/>
    </row>
    <row r="8" spans="1:34" ht="15" customHeight="1">
      <c r="K8" s="1011" t="s">
        <v>18</v>
      </c>
      <c r="L8" s="1012"/>
      <c r="M8" s="1012"/>
      <c r="N8" s="1012"/>
      <c r="O8" s="1012"/>
      <c r="P8" s="1012"/>
      <c r="Q8" s="1013"/>
      <c r="R8" s="1011" t="s">
        <v>74</v>
      </c>
      <c r="S8" s="1012"/>
      <c r="T8" s="1012"/>
      <c r="U8" s="1012"/>
      <c r="V8" s="1012"/>
      <c r="W8" s="1012"/>
      <c r="X8" s="1012"/>
      <c r="Y8" s="1012"/>
      <c r="Z8" s="1012"/>
      <c r="AA8" s="1012"/>
      <c r="AB8" s="1012"/>
      <c r="AC8" s="1012"/>
      <c r="AD8" s="1012"/>
      <c r="AE8" s="1012"/>
      <c r="AF8" s="1012"/>
      <c r="AG8" s="1013"/>
    </row>
    <row r="9" spans="1:34" ht="27.75" customHeight="1">
      <c r="C9" s="825" t="s">
        <v>315</v>
      </c>
      <c r="D9" s="808" t="s">
        <v>768</v>
      </c>
      <c r="E9" s="1007" t="s">
        <v>769</v>
      </c>
      <c r="F9" s="1007" t="s">
        <v>767</v>
      </c>
      <c r="G9" s="810" t="s">
        <v>452</v>
      </c>
      <c r="H9" s="808" t="s">
        <v>273</v>
      </c>
      <c r="I9" s="1007" t="s">
        <v>433</v>
      </c>
      <c r="J9" s="810" t="s">
        <v>434</v>
      </c>
      <c r="K9" s="825" t="s">
        <v>276</v>
      </c>
      <c r="L9" s="1003" t="s">
        <v>435</v>
      </c>
      <c r="M9" s="1004"/>
      <c r="N9" s="1005"/>
      <c r="O9" s="1003" t="s">
        <v>436</v>
      </c>
      <c r="P9" s="1004"/>
      <c r="Q9" s="1005"/>
      <c r="R9" s="808" t="s">
        <v>24</v>
      </c>
      <c r="S9" s="1007" t="str">
        <f>IF(OR('Input-Utilities'!C11="n/a",'Input-Utilities'!C11=""), "n/a", "Annual "&amp;'Input-Utilities'!C11&amp;" Savings")</f>
        <v>n/a</v>
      </c>
      <c r="T9" s="1007" t="str">
        <f>IF(OR('Input-Utilities'!C12="n/a",'Input-Utilities'!C12=""), "n/a", "Annual "&amp;'Input-Utilities'!C12&amp;" Savings")</f>
        <v>n/a</v>
      </c>
      <c r="U9" s="810" t="s">
        <v>73</v>
      </c>
      <c r="V9" s="1003" t="s">
        <v>584</v>
      </c>
      <c r="W9" s="1004"/>
      <c r="X9" s="1005"/>
      <c r="Y9" s="1003" t="s">
        <v>585</v>
      </c>
      <c r="Z9" s="1004"/>
      <c r="AA9" s="1005"/>
      <c r="AB9" s="603" t="s">
        <v>584</v>
      </c>
      <c r="AC9" s="604" t="s">
        <v>585</v>
      </c>
      <c r="AD9" s="605" t="s">
        <v>586</v>
      </c>
      <c r="AE9" s="606" t="s">
        <v>739</v>
      </c>
      <c r="AF9" s="808" t="s">
        <v>70</v>
      </c>
      <c r="AG9" s="810" t="s">
        <v>22</v>
      </c>
      <c r="AH9" s="810" t="s">
        <v>508</v>
      </c>
    </row>
    <row r="10" spans="1:34" ht="14.25" customHeight="1">
      <c r="C10" s="1014"/>
      <c r="D10" s="1016"/>
      <c r="E10" s="1008"/>
      <c r="F10" s="1008"/>
      <c r="G10" s="1018"/>
      <c r="H10" s="1016"/>
      <c r="I10" s="1008"/>
      <c r="J10" s="1018"/>
      <c r="K10" s="1020"/>
      <c r="L10" s="607" t="s">
        <v>437</v>
      </c>
      <c r="M10" s="607" t="s">
        <v>4</v>
      </c>
      <c r="N10" s="608" t="s">
        <v>465</v>
      </c>
      <c r="O10" s="609" t="s">
        <v>437</v>
      </c>
      <c r="P10" s="607" t="s">
        <v>4</v>
      </c>
      <c r="Q10" s="608" t="s">
        <v>465</v>
      </c>
      <c r="R10" s="1021"/>
      <c r="S10" s="1010"/>
      <c r="T10" s="1010"/>
      <c r="U10" s="1006"/>
      <c r="V10" s="610" t="str">
        <f>'Input-Utilities'!$C10</f>
        <v>Electricity</v>
      </c>
      <c r="W10" s="611" t="str">
        <f>IF(OR('Input-Utilities'!$C11="n/a",'Input-Utilities'!$C11=""), "n/a",'Input-Utilities'!$C11)</f>
        <v>n/a</v>
      </c>
      <c r="X10" s="612" t="str">
        <f>IF(OR('Input-Utilities'!$C12="n/a",'Input-Utilities'!$C12=""), "n/a",'Input-Utilities'!$C12)</f>
        <v>n/a</v>
      </c>
      <c r="Y10" s="610" t="str">
        <f>'Input-Utilities'!$C10</f>
        <v>Electricity</v>
      </c>
      <c r="Z10" s="611" t="str">
        <f>IF(OR('Input-Utilities'!$C11="n/a",'Input-Utilities'!$C11=""), "n/a",'Input-Utilities'!$C11)</f>
        <v>n/a</v>
      </c>
      <c r="AA10" s="612" t="str">
        <f>IF(OR('Input-Utilities'!$C12="n/a",'Input-Utilities'!$C12=""), "n/a",'Input-Utilities'!$C12)</f>
        <v>n/a</v>
      </c>
      <c r="AB10" s="613" t="s">
        <v>721</v>
      </c>
      <c r="AC10" s="611" t="s">
        <v>721</v>
      </c>
      <c r="AD10" s="611" t="str">
        <f>'Input-Utilities'!$C13</f>
        <v>Water and Sewer</v>
      </c>
      <c r="AE10" s="612" t="s">
        <v>721</v>
      </c>
      <c r="AF10" s="1021"/>
      <c r="AG10" s="1006"/>
      <c r="AH10" s="1006"/>
    </row>
    <row r="11" spans="1:34" ht="14.25" customHeight="1" thickBot="1">
      <c r="C11" s="1015"/>
      <c r="D11" s="1017"/>
      <c r="E11" s="1009"/>
      <c r="F11" s="1009"/>
      <c r="G11" s="1019"/>
      <c r="H11" s="1017"/>
      <c r="I11" s="1009"/>
      <c r="J11" s="1019"/>
      <c r="K11" s="614" t="s">
        <v>20</v>
      </c>
      <c r="L11" s="615" t="s">
        <v>20</v>
      </c>
      <c r="M11" s="615" t="s">
        <v>20</v>
      </c>
      <c r="N11" s="616" t="s">
        <v>20</v>
      </c>
      <c r="O11" s="617" t="s">
        <v>20</v>
      </c>
      <c r="P11" s="615" t="s">
        <v>20</v>
      </c>
      <c r="Q11" s="616" t="s">
        <v>20</v>
      </c>
      <c r="R11" s="618" t="s">
        <v>21</v>
      </c>
      <c r="S11" s="615" t="str">
        <f>IF(S9="n/a", "", 'Input-Utilities'!F11)</f>
        <v/>
      </c>
      <c r="T11" s="615" t="str">
        <f>IF(T9="n/a", "", 'Input-Utilities'!F12)</f>
        <v/>
      </c>
      <c r="U11" s="619">
        <f>'Input-Utilities'!F13</f>
        <v>0</v>
      </c>
      <c r="V11" s="620" t="s">
        <v>577</v>
      </c>
      <c r="W11" s="615" t="s">
        <v>577</v>
      </c>
      <c r="X11" s="616" t="s">
        <v>577</v>
      </c>
      <c r="Y11" s="620" t="s">
        <v>577</v>
      </c>
      <c r="Z11" s="615" t="s">
        <v>577</v>
      </c>
      <c r="AA11" s="616" t="s">
        <v>577</v>
      </c>
      <c r="AB11" s="618" t="s">
        <v>577</v>
      </c>
      <c r="AC11" s="615" t="s">
        <v>577</v>
      </c>
      <c r="AD11" s="615" t="s">
        <v>578</v>
      </c>
      <c r="AE11" s="616" t="s">
        <v>740</v>
      </c>
      <c r="AF11" s="618" t="s">
        <v>71</v>
      </c>
      <c r="AG11" s="619" t="s">
        <v>71</v>
      </c>
      <c r="AH11" s="619" t="s">
        <v>509</v>
      </c>
    </row>
    <row r="12" spans="1:34" ht="15" thickTop="1">
      <c r="C12" s="621">
        <v>1</v>
      </c>
      <c r="D12" s="622"/>
      <c r="E12" s="623"/>
      <c r="F12" s="624"/>
      <c r="G12" s="625"/>
      <c r="H12" s="626"/>
      <c r="I12" s="627"/>
      <c r="J12" s="628" t="str">
        <f>IFERROR(IF(I12=0,"",I12/'Input-Property'!$D$42),"")</f>
        <v/>
      </c>
      <c r="K12" s="629"/>
      <c r="L12" s="630"/>
      <c r="M12" s="630"/>
      <c r="N12" s="631" t="str">
        <f>IF(D12="","",SUM(L12:M12))</f>
        <v/>
      </c>
      <c r="O12" s="632"/>
      <c r="P12" s="630"/>
      <c r="Q12" s="631" t="str">
        <f>IF(D12="","",SUM(O12:P12))</f>
        <v/>
      </c>
      <c r="R12" s="493"/>
      <c r="S12" s="491"/>
      <c r="T12" s="491"/>
      <c r="U12" s="633"/>
      <c r="V12" s="634" t="str">
        <f>IF(R12="","",IFERROR(R12*INDEX(Assumptions!$D$6:$D$22,MATCH('Input-EWEMs'!R$11,Assumptions!$C$6:$C$22,0))/1000,""))</f>
        <v/>
      </c>
      <c r="W12" s="635" t="str">
        <f>IF(S12="","",IFERROR(S12*INDEX(Assumptions!$D$6:$D$22,MATCH('Input-EWEMs'!S$11,Assumptions!$C$6:$C$22,0))/1000,""))</f>
        <v/>
      </c>
      <c r="X12" s="636" t="str">
        <f>IF(T12="","",IFERROR(T12*INDEX(Assumptions!$D$6:$D$22,MATCH('Input-EWEMs'!T$11,Assumptions!$C$6:$C$22,0))/1000,""))</f>
        <v/>
      </c>
      <c r="Y12" s="634" t="str">
        <f>IF(V12="","",IFERROR(V12*INDEX(Assumptions!$E$6:$E$22,MATCH('Input-EWEMs'!Y$10,Assumptions!$B$6:$B$22,0)),""))</f>
        <v/>
      </c>
      <c r="Z12" s="635" t="str">
        <f>IF(W12="","",IFERROR(W12*INDEX(Assumptions!$E$6:$E$22,MATCH('Input-EWEMs'!Z$10,Assumptions!$B$6:$B$22,0)),""))</f>
        <v/>
      </c>
      <c r="AA12" s="636" t="str">
        <f>IF(X12="","",IFERROR(X12*INDEX(Assumptions!$E$6:$E$22,MATCH('Input-EWEMs'!AA$10,Assumptions!$B$6:$B$22,0)),""))</f>
        <v/>
      </c>
      <c r="AB12" s="637">
        <f>SUM(V12:X12)</f>
        <v>0</v>
      </c>
      <c r="AC12" s="635">
        <f>SUM(Y12:AA12)</f>
        <v>0</v>
      </c>
      <c r="AD12" s="638" t="str">
        <f>IF(U12="","",IFERROR(U12*INDEX(Assumptions!$D$24:$D$27,MATCH('Input-EWEMs'!U$11,Assumptions!$C$24:$C$27,0))/1000,""))</f>
        <v/>
      </c>
      <c r="AE12" s="639">
        <f>IFERROR(R12*INDEX(Assumptions!$H$6:$H$22,MATCH('Input-EWEMs'!R$11,Assumptions!$C$6:$C$22,0)),0)+IFERROR(S12*INDEX(Assumptions!$H$6:$H$22,MATCH('Input-EWEMs'!S$11,Assumptions!$C$6:$C$22,0)),0)+IFERROR(T12*INDEX(Assumptions!$H$6:$H$22,MATCH('Input-EWEMs'!T$11,Assumptions!$C$6:$C$22,0)),0)</f>
        <v>0</v>
      </c>
      <c r="AF12" s="640" t="str">
        <f>IFERROR(IF(D12="","",SUM(Y12:AA12)/'Input-Utilities'!$L$14),"")</f>
        <v/>
      </c>
      <c r="AG12" s="641" t="str">
        <f>IFERROR(IF(D12="","",U12/'Input-Utilities'!$J$13),"")</f>
        <v/>
      </c>
      <c r="AH12" s="642" t="str">
        <f>IFERROR(IF($D12="","",IF(INDEX('Reference-MeasureList EULs'!D:D, MATCH('Input-EWEMs'!E12,'Reference-MeasureList EULs'!C:C,0))=0,"",INDEX('Reference-MeasureList EULs'!D:D, MATCH('Input-EWEMs'!E12,'Reference-MeasureList EULs'!C:C,0)))),"")</f>
        <v/>
      </c>
    </row>
    <row r="13" spans="1:34">
      <c r="C13" s="643">
        <v>2</v>
      </c>
      <c r="D13" s="644"/>
      <c r="E13" s="645"/>
      <c r="F13" s="646"/>
      <c r="G13" s="647"/>
      <c r="H13" s="648"/>
      <c r="I13" s="649"/>
      <c r="J13" s="628" t="str">
        <f>IFERROR(IF(I13=0,"",I13/'Input-Property'!$D$42),"")</f>
        <v/>
      </c>
      <c r="K13" s="650"/>
      <c r="L13" s="651"/>
      <c r="M13" s="651"/>
      <c r="N13" s="631" t="str">
        <f t="shared" ref="N13:N30" si="0">IF(D13="","",SUM(L13:M13))</f>
        <v/>
      </c>
      <c r="O13" s="652"/>
      <c r="P13" s="651"/>
      <c r="Q13" s="631" t="str">
        <f t="shared" ref="Q13:Q30" si="1">IF(D13="","",SUM(O13:P13))</f>
        <v/>
      </c>
      <c r="R13" s="653"/>
      <c r="S13" s="497"/>
      <c r="T13" s="497"/>
      <c r="U13" s="654"/>
      <c r="V13" s="634" t="str">
        <f>IF(R13="","",IFERROR(R13*INDEX(Assumptions!$D$6:$D$22,MATCH('Input-EWEMs'!R$11,Assumptions!$C$6:$C$22,0))/1000,""))</f>
        <v/>
      </c>
      <c r="W13" s="635" t="str">
        <f>IF(S13="","",IFERROR(S13*INDEX(Assumptions!$D$6:$D$22,MATCH('Input-EWEMs'!S$11,Assumptions!$C$6:$C$22,0))/1000,""))</f>
        <v/>
      </c>
      <c r="X13" s="636" t="str">
        <f>IF(T13="","",IFERROR(T13*INDEX(Assumptions!$D$6:$D$22,MATCH('Input-EWEMs'!T$11,Assumptions!$C$6:$C$22,0))/1000,""))</f>
        <v/>
      </c>
      <c r="Y13" s="634" t="str">
        <f>IF(V13="","",IFERROR(V13*INDEX(Assumptions!$E$6:$E$22,MATCH('Input-EWEMs'!Y$10,Assumptions!$B$6:$B$22,0)),""))</f>
        <v/>
      </c>
      <c r="Z13" s="635" t="str">
        <f>IF(W13="","",IFERROR(W13*INDEX(Assumptions!$E$6:$E$22,MATCH('Input-EWEMs'!Z$10,Assumptions!$B$6:$B$22,0)),""))</f>
        <v/>
      </c>
      <c r="AA13" s="636" t="str">
        <f>IF(X13="","",IFERROR(X13*INDEX(Assumptions!$E$6:$E$22,MATCH('Input-EWEMs'!AA$10,Assumptions!$B$6:$B$22,0)),""))</f>
        <v/>
      </c>
      <c r="AB13" s="637">
        <f t="shared" ref="AB13:AB28" si="2">SUM(V13:X13)</f>
        <v>0</v>
      </c>
      <c r="AC13" s="635">
        <f t="shared" ref="AC13:AC28" si="3">SUM(Y13:AA13)</f>
        <v>0</v>
      </c>
      <c r="AD13" s="635" t="str">
        <f>IF(U13="","",IFERROR(U13*INDEX(Assumptions!$D$24:$D$27,MATCH('Input-EWEMs'!U$11,Assumptions!$C$24:$C$27,0))/1000,""))</f>
        <v/>
      </c>
      <c r="AE13" s="636">
        <f>IFERROR(R13*INDEX(Assumptions!$H$6:$H$22,MATCH('Input-EWEMs'!R$11,Assumptions!$C$6:$C$22,0)),0)+IFERROR(S13*INDEX(Assumptions!$H$6:$H$22,MATCH('Input-EWEMs'!S$11,Assumptions!$C$6:$C$22,0)),0)+IFERROR(T13*INDEX(Assumptions!$H$6:$H$22,MATCH('Input-EWEMs'!T$11,Assumptions!$C$6:$C$22,0)),0)</f>
        <v>0</v>
      </c>
      <c r="AF13" s="640" t="str">
        <f>IFERROR(IF(D13="","",SUM(Y13:AA13)/'Input-Utilities'!$L$14),"")</f>
        <v/>
      </c>
      <c r="AG13" s="641" t="str">
        <f>IFERROR(IF(D13="","",U13/'Input-Utilities'!$J$13),"")</f>
        <v/>
      </c>
      <c r="AH13" s="642" t="str">
        <f>IFERROR(IF($D13="","",IF(INDEX('Reference-MeasureList EULs'!D:D, MATCH('Input-EWEMs'!E13,'Reference-MeasureList EULs'!C:C,0))=0,"",INDEX('Reference-MeasureList EULs'!D:D, MATCH('Input-EWEMs'!E13,'Reference-MeasureList EULs'!C:C,0)))),"")</f>
        <v/>
      </c>
    </row>
    <row r="14" spans="1:34">
      <c r="C14" s="643">
        <v>3</v>
      </c>
      <c r="D14" s="644"/>
      <c r="E14" s="645"/>
      <c r="F14" s="646"/>
      <c r="G14" s="647"/>
      <c r="H14" s="648"/>
      <c r="I14" s="649"/>
      <c r="J14" s="628" t="str">
        <f>IFERROR(IF(I14=0,"",I14/'Input-Property'!$D$42),"")</f>
        <v/>
      </c>
      <c r="K14" s="650"/>
      <c r="L14" s="651"/>
      <c r="M14" s="651"/>
      <c r="N14" s="631" t="str">
        <f t="shared" si="0"/>
        <v/>
      </c>
      <c r="O14" s="652"/>
      <c r="P14" s="651"/>
      <c r="Q14" s="631" t="str">
        <f t="shared" si="1"/>
        <v/>
      </c>
      <c r="R14" s="653"/>
      <c r="S14" s="497"/>
      <c r="T14" s="497"/>
      <c r="U14" s="654"/>
      <c r="V14" s="634" t="str">
        <f>IF(R14="","",IFERROR(R14*INDEX(Assumptions!$D$6:$D$22,MATCH('Input-EWEMs'!R$11,Assumptions!$C$6:$C$22,0))/1000,""))</f>
        <v/>
      </c>
      <c r="W14" s="635" t="str">
        <f>IF(S14="","",IFERROR(S14*INDEX(Assumptions!$D$6:$D$22,MATCH('Input-EWEMs'!S$11,Assumptions!$C$6:$C$22,0))/1000,""))</f>
        <v/>
      </c>
      <c r="X14" s="636" t="str">
        <f>IF(T14="","",IFERROR(T14*INDEX(Assumptions!$D$6:$D$22,MATCH('Input-EWEMs'!T$11,Assumptions!$C$6:$C$22,0))/1000,""))</f>
        <v/>
      </c>
      <c r="Y14" s="634" t="str">
        <f>IF(V14="","",IFERROR(V14*INDEX(Assumptions!$E$6:$E$22,MATCH('Input-EWEMs'!Y$10,Assumptions!$B$6:$B$22,0)),""))</f>
        <v/>
      </c>
      <c r="Z14" s="635" t="str">
        <f>IF(W14="","",IFERROR(W14*INDEX(Assumptions!$E$6:$E$22,MATCH('Input-EWEMs'!Z$10,Assumptions!$B$6:$B$22,0)),""))</f>
        <v/>
      </c>
      <c r="AA14" s="636" t="str">
        <f>IF(X14="","",IFERROR(X14*INDEX(Assumptions!$E$6:$E$22,MATCH('Input-EWEMs'!AA$10,Assumptions!$B$6:$B$22,0)),""))</f>
        <v/>
      </c>
      <c r="AB14" s="637">
        <f t="shared" si="2"/>
        <v>0</v>
      </c>
      <c r="AC14" s="635">
        <f t="shared" si="3"/>
        <v>0</v>
      </c>
      <c r="AD14" s="635" t="str">
        <f>IF(U14="","",IFERROR(U14*INDEX(Assumptions!$D$24:$D$27,MATCH('Input-EWEMs'!U$11,Assumptions!$C$24:$C$27,0))/1000,""))</f>
        <v/>
      </c>
      <c r="AE14" s="636">
        <f>IFERROR(R14*INDEX(Assumptions!$H$6:$H$22,MATCH('Input-EWEMs'!R$11,Assumptions!$C$6:$C$22,0)),0)+IFERROR(S14*INDEX(Assumptions!$H$6:$H$22,MATCH('Input-EWEMs'!S$11,Assumptions!$C$6:$C$22,0)),0)+IFERROR(T14*INDEX(Assumptions!$H$6:$H$22,MATCH('Input-EWEMs'!T$11,Assumptions!$C$6:$C$22,0)),0)</f>
        <v>0</v>
      </c>
      <c r="AF14" s="640" t="str">
        <f>IFERROR(IF(D14="","",SUM(Y14:AA14)/'Input-Utilities'!$L$14),"")</f>
        <v/>
      </c>
      <c r="AG14" s="641" t="str">
        <f>IFERROR(IF(D14="","",U14/'Input-Utilities'!$J$13),"")</f>
        <v/>
      </c>
      <c r="AH14" s="642" t="str">
        <f>IFERROR(IF($D14="","",IF(INDEX('Reference-MeasureList EULs'!D:D, MATCH('Input-EWEMs'!E14,'Reference-MeasureList EULs'!C:C,0))=0,"",INDEX('Reference-MeasureList EULs'!D:D, MATCH('Input-EWEMs'!E14,'Reference-MeasureList EULs'!C:C,0)))),"")</f>
        <v/>
      </c>
    </row>
    <row r="15" spans="1:34">
      <c r="C15" s="643">
        <v>4</v>
      </c>
      <c r="D15" s="644"/>
      <c r="E15" s="645"/>
      <c r="F15" s="646"/>
      <c r="G15" s="647"/>
      <c r="H15" s="648"/>
      <c r="I15" s="649"/>
      <c r="J15" s="628" t="str">
        <f>IFERROR(IF(I15=0,"",I15/'Input-Property'!$D$42),"")</f>
        <v/>
      </c>
      <c r="K15" s="650"/>
      <c r="L15" s="651"/>
      <c r="M15" s="651"/>
      <c r="N15" s="631" t="str">
        <f t="shared" si="0"/>
        <v/>
      </c>
      <c r="O15" s="652"/>
      <c r="P15" s="651"/>
      <c r="Q15" s="631" t="str">
        <f t="shared" si="1"/>
        <v/>
      </c>
      <c r="R15" s="653"/>
      <c r="S15" s="497"/>
      <c r="T15" s="497"/>
      <c r="U15" s="654"/>
      <c r="V15" s="634" t="str">
        <f>IF(R15="","",IFERROR(R15*INDEX(Assumptions!$D$6:$D$22,MATCH('Input-EWEMs'!R$11,Assumptions!$C$6:$C$22,0))/1000,""))</f>
        <v/>
      </c>
      <c r="W15" s="635" t="str">
        <f>IF(S15="","",IFERROR(S15*INDEX(Assumptions!$D$6:$D$22,MATCH('Input-EWEMs'!S$11,Assumptions!$C$6:$C$22,0))/1000,""))</f>
        <v/>
      </c>
      <c r="X15" s="636" t="str">
        <f>IF(T15="","",IFERROR(T15*INDEX(Assumptions!$D$6:$D$22,MATCH('Input-EWEMs'!T$11,Assumptions!$C$6:$C$22,0))/1000,""))</f>
        <v/>
      </c>
      <c r="Y15" s="634" t="str">
        <f>IF(V15="","",IFERROR(V15*INDEX(Assumptions!$E$6:$E$22,MATCH('Input-EWEMs'!Y$10,Assumptions!$B$6:$B$22,0)),""))</f>
        <v/>
      </c>
      <c r="Z15" s="635" t="str">
        <f>IF(W15="","",IFERROR(W15*INDEX(Assumptions!$E$6:$E$22,MATCH('Input-EWEMs'!Z$10,Assumptions!$B$6:$B$22,0)),""))</f>
        <v/>
      </c>
      <c r="AA15" s="636" t="str">
        <f>IF(X15="","",IFERROR(X15*INDEX(Assumptions!$E$6:$E$22,MATCH('Input-EWEMs'!AA$10,Assumptions!$B$6:$B$22,0)),""))</f>
        <v/>
      </c>
      <c r="AB15" s="637">
        <f t="shared" si="2"/>
        <v>0</v>
      </c>
      <c r="AC15" s="635">
        <f t="shared" si="3"/>
        <v>0</v>
      </c>
      <c r="AD15" s="635" t="str">
        <f>IF(U15="","",IFERROR(U15*INDEX(Assumptions!$D$24:$D$27,MATCH('Input-EWEMs'!U$11,Assumptions!$C$24:$C$27,0))/1000,""))</f>
        <v/>
      </c>
      <c r="AE15" s="636">
        <f>IFERROR(R15*INDEX(Assumptions!$H$6:$H$22,MATCH('Input-EWEMs'!R$11,Assumptions!$C$6:$C$22,0)),0)+IFERROR(S15*INDEX(Assumptions!$H$6:$H$22,MATCH('Input-EWEMs'!S$11,Assumptions!$C$6:$C$22,0)),0)+IFERROR(T15*INDEX(Assumptions!$H$6:$H$22,MATCH('Input-EWEMs'!T$11,Assumptions!$C$6:$C$22,0)),0)</f>
        <v>0</v>
      </c>
      <c r="AF15" s="640" t="str">
        <f>IFERROR(IF(D15="","",SUM(Y15:AA15)/'Input-Utilities'!$L$14),"")</f>
        <v/>
      </c>
      <c r="AG15" s="641" t="str">
        <f>IFERROR(IF(D15="","",U15/'Input-Utilities'!$J$13),"")</f>
        <v/>
      </c>
      <c r="AH15" s="642" t="str">
        <f>IFERROR(IF($D15="","",IF(INDEX('Reference-MeasureList EULs'!D:D, MATCH('Input-EWEMs'!E15,'Reference-MeasureList EULs'!C:C,0))=0,"",INDEX('Reference-MeasureList EULs'!D:D, MATCH('Input-EWEMs'!E15,'Reference-MeasureList EULs'!C:C,0)))),"")</f>
        <v/>
      </c>
    </row>
    <row r="16" spans="1:34">
      <c r="C16" s="643">
        <v>5</v>
      </c>
      <c r="D16" s="644"/>
      <c r="E16" s="645"/>
      <c r="F16" s="646"/>
      <c r="G16" s="647"/>
      <c r="H16" s="648"/>
      <c r="I16" s="649"/>
      <c r="J16" s="628" t="str">
        <f>IFERROR(IF(I16=0,"",I16/'Input-Property'!$D$42),"")</f>
        <v/>
      </c>
      <c r="K16" s="650"/>
      <c r="L16" s="651"/>
      <c r="M16" s="651"/>
      <c r="N16" s="631" t="str">
        <f t="shared" si="0"/>
        <v/>
      </c>
      <c r="O16" s="652"/>
      <c r="P16" s="651"/>
      <c r="Q16" s="631" t="str">
        <f t="shared" si="1"/>
        <v/>
      </c>
      <c r="R16" s="653"/>
      <c r="S16" s="497"/>
      <c r="T16" s="497"/>
      <c r="U16" s="654"/>
      <c r="V16" s="634" t="str">
        <f>IF(R16="","",IFERROR(R16*INDEX(Assumptions!$D$6:$D$22,MATCH('Input-EWEMs'!R$11,Assumptions!$C$6:$C$22,0))/1000,""))</f>
        <v/>
      </c>
      <c r="W16" s="635" t="str">
        <f>IF(S16="","",IFERROR(S16*INDEX(Assumptions!$D$6:$D$22,MATCH('Input-EWEMs'!S$11,Assumptions!$C$6:$C$22,0))/1000,""))</f>
        <v/>
      </c>
      <c r="X16" s="636" t="str">
        <f>IF(T16="","",IFERROR(T16*INDEX(Assumptions!$D$6:$D$22,MATCH('Input-EWEMs'!T$11,Assumptions!$C$6:$C$22,0))/1000,""))</f>
        <v/>
      </c>
      <c r="Y16" s="634" t="str">
        <f>IF(V16="","",IFERROR(V16*INDEX(Assumptions!$E$6:$E$22,MATCH('Input-EWEMs'!Y$10,Assumptions!$B$6:$B$22,0)),""))</f>
        <v/>
      </c>
      <c r="Z16" s="635" t="str">
        <f>IF(W16="","",IFERROR(W16*INDEX(Assumptions!$E$6:$E$22,MATCH('Input-EWEMs'!Z$10,Assumptions!$B$6:$B$22,0)),""))</f>
        <v/>
      </c>
      <c r="AA16" s="636" t="str">
        <f>IF(X16="","",IFERROR(X16*INDEX(Assumptions!$E$6:$E$22,MATCH('Input-EWEMs'!AA$10,Assumptions!$B$6:$B$22,0)),""))</f>
        <v/>
      </c>
      <c r="AB16" s="637">
        <f t="shared" si="2"/>
        <v>0</v>
      </c>
      <c r="AC16" s="635">
        <f t="shared" si="3"/>
        <v>0</v>
      </c>
      <c r="AD16" s="635" t="str">
        <f>IF(U16="","",IFERROR(U16*INDEX(Assumptions!$D$24:$D$27,MATCH('Input-EWEMs'!U$11,Assumptions!$C$24:$C$27,0))/1000,""))</f>
        <v/>
      </c>
      <c r="AE16" s="636">
        <f>IFERROR(R16*INDEX(Assumptions!$H$6:$H$22,MATCH('Input-EWEMs'!R$11,Assumptions!$C$6:$C$22,0)),0)+IFERROR(S16*INDEX(Assumptions!$H$6:$H$22,MATCH('Input-EWEMs'!S$11,Assumptions!$C$6:$C$22,0)),0)+IFERROR(T16*INDEX(Assumptions!$H$6:$H$22,MATCH('Input-EWEMs'!T$11,Assumptions!$C$6:$C$22,0)),0)</f>
        <v>0</v>
      </c>
      <c r="AF16" s="640" t="str">
        <f>IFERROR(IF(D16="","",SUM(Y16:AA16)/'Input-Utilities'!$L$14),"")</f>
        <v/>
      </c>
      <c r="AG16" s="641" t="str">
        <f>IFERROR(IF(D16="","",U16/'Input-Utilities'!$J$13),"")</f>
        <v/>
      </c>
      <c r="AH16" s="642" t="str">
        <f>IFERROR(IF($D16="","",IF(INDEX('Reference-MeasureList EULs'!D:D, MATCH('Input-EWEMs'!E16,'Reference-MeasureList EULs'!C:C,0))=0,"",INDEX('Reference-MeasureList EULs'!D:D, MATCH('Input-EWEMs'!E16,'Reference-MeasureList EULs'!C:C,0)))),"")</f>
        <v/>
      </c>
    </row>
    <row r="17" spans="3:34">
      <c r="C17" s="643">
        <v>6</v>
      </c>
      <c r="D17" s="644"/>
      <c r="E17" s="645"/>
      <c r="F17" s="646"/>
      <c r="G17" s="647"/>
      <c r="H17" s="648"/>
      <c r="I17" s="649"/>
      <c r="J17" s="628" t="str">
        <f>IFERROR(IF(I17=0,"",I17/'Input-Property'!$D$42),"")</f>
        <v/>
      </c>
      <c r="K17" s="650"/>
      <c r="L17" s="651"/>
      <c r="M17" s="651"/>
      <c r="N17" s="631" t="str">
        <f t="shared" si="0"/>
        <v/>
      </c>
      <c r="O17" s="652"/>
      <c r="P17" s="651"/>
      <c r="Q17" s="631" t="str">
        <f t="shared" si="1"/>
        <v/>
      </c>
      <c r="R17" s="653"/>
      <c r="S17" s="497"/>
      <c r="T17" s="497"/>
      <c r="U17" s="654"/>
      <c r="V17" s="634" t="str">
        <f>IF(R17="","",IFERROR(R17*INDEX(Assumptions!$D$6:$D$22,MATCH('Input-EWEMs'!R$11,Assumptions!$C$6:$C$22,0))/1000,""))</f>
        <v/>
      </c>
      <c r="W17" s="635" t="str">
        <f>IF(S17="","",IFERROR(S17*INDEX(Assumptions!$D$6:$D$22,MATCH('Input-EWEMs'!S$11,Assumptions!$C$6:$C$22,0))/1000,""))</f>
        <v/>
      </c>
      <c r="X17" s="636" t="str">
        <f>IF(T17="","",IFERROR(T17*INDEX(Assumptions!$D$6:$D$22,MATCH('Input-EWEMs'!T$11,Assumptions!$C$6:$C$22,0))/1000,""))</f>
        <v/>
      </c>
      <c r="Y17" s="634" t="str">
        <f>IF(V17="","",IFERROR(V17*INDEX(Assumptions!$E$6:$E$22,MATCH('Input-EWEMs'!Y$10,Assumptions!$B$6:$B$22,0)),""))</f>
        <v/>
      </c>
      <c r="Z17" s="635" t="str">
        <f>IF(W17="","",IFERROR(W17*INDEX(Assumptions!$E$6:$E$22,MATCH('Input-EWEMs'!Z$10,Assumptions!$B$6:$B$22,0)),""))</f>
        <v/>
      </c>
      <c r="AA17" s="636" t="str">
        <f>IF(X17="","",IFERROR(X17*INDEX(Assumptions!$E$6:$E$22,MATCH('Input-EWEMs'!AA$10,Assumptions!$B$6:$B$22,0)),""))</f>
        <v/>
      </c>
      <c r="AB17" s="637">
        <f t="shared" si="2"/>
        <v>0</v>
      </c>
      <c r="AC17" s="635">
        <f t="shared" si="3"/>
        <v>0</v>
      </c>
      <c r="AD17" s="635" t="str">
        <f>IF(U17="","",IFERROR(U17*INDEX(Assumptions!$D$24:$D$27,MATCH('Input-EWEMs'!U$11,Assumptions!$C$24:$C$27,0))/1000,""))</f>
        <v/>
      </c>
      <c r="AE17" s="636">
        <f>IFERROR(R17*INDEX(Assumptions!$H$6:$H$22,MATCH('Input-EWEMs'!R$11,Assumptions!$C$6:$C$22,0)),0)+IFERROR(S17*INDEX(Assumptions!$H$6:$H$22,MATCH('Input-EWEMs'!S$11,Assumptions!$C$6:$C$22,0)),0)+IFERROR(T17*INDEX(Assumptions!$H$6:$H$22,MATCH('Input-EWEMs'!T$11,Assumptions!$C$6:$C$22,0)),0)</f>
        <v>0</v>
      </c>
      <c r="AF17" s="640" t="str">
        <f>IFERROR(IF(D17="","",SUM(Y17:AA17)/'Input-Utilities'!$L$14),"")</f>
        <v/>
      </c>
      <c r="AG17" s="641" t="str">
        <f>IFERROR(IF(D17="","",U17/'Input-Utilities'!$J$13),"")</f>
        <v/>
      </c>
      <c r="AH17" s="642" t="str">
        <f>IFERROR(IF($D17="","",IF(INDEX('Reference-MeasureList EULs'!D:D, MATCH('Input-EWEMs'!E17,'Reference-MeasureList EULs'!C:C,0))=0,"",INDEX('Reference-MeasureList EULs'!D:D, MATCH('Input-EWEMs'!E17,'Reference-MeasureList EULs'!C:C,0)))),"")</f>
        <v/>
      </c>
    </row>
    <row r="18" spans="3:34">
      <c r="C18" s="643">
        <v>7</v>
      </c>
      <c r="D18" s="644"/>
      <c r="E18" s="645"/>
      <c r="F18" s="646"/>
      <c r="G18" s="647"/>
      <c r="H18" s="648"/>
      <c r="I18" s="649"/>
      <c r="J18" s="628" t="str">
        <f>IFERROR(IF(I18=0,"",I18/'Input-Property'!$D$42),"")</f>
        <v/>
      </c>
      <c r="K18" s="650"/>
      <c r="L18" s="651"/>
      <c r="M18" s="651"/>
      <c r="N18" s="631" t="str">
        <f t="shared" si="0"/>
        <v/>
      </c>
      <c r="O18" s="652"/>
      <c r="P18" s="651"/>
      <c r="Q18" s="631" t="str">
        <f t="shared" si="1"/>
        <v/>
      </c>
      <c r="R18" s="653"/>
      <c r="S18" s="497"/>
      <c r="T18" s="497"/>
      <c r="U18" s="654"/>
      <c r="V18" s="634" t="str">
        <f>IF(R18="","",IFERROR(R18*INDEX(Assumptions!$D$6:$D$22,MATCH('Input-EWEMs'!R$11,Assumptions!$C$6:$C$22,0))/1000,""))</f>
        <v/>
      </c>
      <c r="W18" s="635" t="str">
        <f>IF(S18="","",IFERROR(S18*INDEX(Assumptions!$D$6:$D$22,MATCH('Input-EWEMs'!S$11,Assumptions!$C$6:$C$22,0))/1000,""))</f>
        <v/>
      </c>
      <c r="X18" s="636" t="str">
        <f>IF(T18="","",IFERROR(T18*INDEX(Assumptions!$D$6:$D$22,MATCH('Input-EWEMs'!T$11,Assumptions!$C$6:$C$22,0))/1000,""))</f>
        <v/>
      </c>
      <c r="Y18" s="634" t="str">
        <f>IF(V18="","",IFERROR(V18*INDEX(Assumptions!$E$6:$E$22,MATCH('Input-EWEMs'!Y$10,Assumptions!$B$6:$B$22,0)),""))</f>
        <v/>
      </c>
      <c r="Z18" s="635" t="str">
        <f>IF(W18="","",IFERROR(W18*INDEX(Assumptions!$E$6:$E$22,MATCH('Input-EWEMs'!Z$10,Assumptions!$B$6:$B$22,0)),""))</f>
        <v/>
      </c>
      <c r="AA18" s="636" t="str">
        <f>IF(X18="","",IFERROR(X18*INDEX(Assumptions!$E$6:$E$22,MATCH('Input-EWEMs'!AA$10,Assumptions!$B$6:$B$22,0)),""))</f>
        <v/>
      </c>
      <c r="AB18" s="637">
        <f t="shared" si="2"/>
        <v>0</v>
      </c>
      <c r="AC18" s="635">
        <f t="shared" si="3"/>
        <v>0</v>
      </c>
      <c r="AD18" s="635" t="str">
        <f>IF(U18="","",IFERROR(U18*INDEX(Assumptions!$D$24:$D$27,MATCH('Input-EWEMs'!U$11,Assumptions!$C$24:$C$27,0))/1000,""))</f>
        <v/>
      </c>
      <c r="AE18" s="636">
        <f>IFERROR(R18*INDEX(Assumptions!$H$6:$H$22,MATCH('Input-EWEMs'!R$11,Assumptions!$C$6:$C$22,0)),0)+IFERROR(S18*INDEX(Assumptions!$H$6:$H$22,MATCH('Input-EWEMs'!S$11,Assumptions!$C$6:$C$22,0)),0)+IFERROR(T18*INDEX(Assumptions!$H$6:$H$22,MATCH('Input-EWEMs'!T$11,Assumptions!$C$6:$C$22,0)),0)</f>
        <v>0</v>
      </c>
      <c r="AF18" s="640" t="str">
        <f>IFERROR(IF(D18="","",SUM(Y18:AA18)/'Input-Utilities'!$L$14),"")</f>
        <v/>
      </c>
      <c r="AG18" s="641" t="str">
        <f>IFERROR(IF(D18="","",U18/'Input-Utilities'!$J$13),"")</f>
        <v/>
      </c>
      <c r="AH18" s="642" t="str">
        <f>IFERROR(IF($D18="","",IF(INDEX('Reference-MeasureList EULs'!D:D, MATCH('Input-EWEMs'!E18,'Reference-MeasureList EULs'!C:C,0))=0,"",INDEX('Reference-MeasureList EULs'!D:D, MATCH('Input-EWEMs'!E18,'Reference-MeasureList EULs'!C:C,0)))),"")</f>
        <v/>
      </c>
    </row>
    <row r="19" spans="3:34">
      <c r="C19" s="643">
        <v>8</v>
      </c>
      <c r="D19" s="644"/>
      <c r="E19" s="645"/>
      <c r="F19" s="646"/>
      <c r="G19" s="647"/>
      <c r="H19" s="648"/>
      <c r="I19" s="649"/>
      <c r="J19" s="628" t="str">
        <f>IFERROR(IF(I19=0,"",I19/'Input-Property'!$D$42),"")</f>
        <v/>
      </c>
      <c r="K19" s="650"/>
      <c r="L19" s="651"/>
      <c r="M19" s="651"/>
      <c r="N19" s="631" t="str">
        <f t="shared" si="0"/>
        <v/>
      </c>
      <c r="O19" s="652"/>
      <c r="P19" s="651"/>
      <c r="Q19" s="631" t="str">
        <f t="shared" si="1"/>
        <v/>
      </c>
      <c r="R19" s="653"/>
      <c r="S19" s="497"/>
      <c r="T19" s="497"/>
      <c r="U19" s="654"/>
      <c r="V19" s="634" t="str">
        <f>IF(R19="","",IFERROR(R19*INDEX(Assumptions!$D$6:$D$22,MATCH('Input-EWEMs'!R$11,Assumptions!$C$6:$C$22,0))/1000,""))</f>
        <v/>
      </c>
      <c r="W19" s="635" t="str">
        <f>IF(S19="","",IFERROR(S19*INDEX(Assumptions!$D$6:$D$22,MATCH('Input-EWEMs'!S$11,Assumptions!$C$6:$C$22,0))/1000,""))</f>
        <v/>
      </c>
      <c r="X19" s="636" t="str">
        <f>IF(T19="","",IFERROR(T19*INDEX(Assumptions!$D$6:$D$22,MATCH('Input-EWEMs'!T$11,Assumptions!$C$6:$C$22,0))/1000,""))</f>
        <v/>
      </c>
      <c r="Y19" s="634" t="str">
        <f>IF(V19="","",IFERROR(V19*INDEX(Assumptions!$E$6:$E$22,MATCH('Input-EWEMs'!Y$10,Assumptions!$B$6:$B$22,0)),""))</f>
        <v/>
      </c>
      <c r="Z19" s="635" t="str">
        <f>IF(W19="","",IFERROR(W19*INDEX(Assumptions!$E$6:$E$22,MATCH('Input-EWEMs'!Z$10,Assumptions!$B$6:$B$22,0)),""))</f>
        <v/>
      </c>
      <c r="AA19" s="636" t="str">
        <f>IF(X19="","",IFERROR(X19*INDEX(Assumptions!$E$6:$E$22,MATCH('Input-EWEMs'!AA$10,Assumptions!$B$6:$B$22,0)),""))</f>
        <v/>
      </c>
      <c r="AB19" s="637">
        <f t="shared" si="2"/>
        <v>0</v>
      </c>
      <c r="AC19" s="635">
        <f t="shared" si="3"/>
        <v>0</v>
      </c>
      <c r="AD19" s="635" t="str">
        <f>IF(U19="","",IFERROR(U19*INDEX(Assumptions!$D$24:$D$27,MATCH('Input-EWEMs'!U$11,Assumptions!$C$24:$C$27,0))/1000,""))</f>
        <v/>
      </c>
      <c r="AE19" s="636">
        <f>IFERROR(R19*INDEX(Assumptions!$H$6:$H$22,MATCH('Input-EWEMs'!R$11,Assumptions!$C$6:$C$22,0)),0)+IFERROR(S19*INDEX(Assumptions!$H$6:$H$22,MATCH('Input-EWEMs'!S$11,Assumptions!$C$6:$C$22,0)),0)+IFERROR(T19*INDEX(Assumptions!$H$6:$H$22,MATCH('Input-EWEMs'!T$11,Assumptions!$C$6:$C$22,0)),0)</f>
        <v>0</v>
      </c>
      <c r="AF19" s="640" t="str">
        <f>IFERROR(IF(D19="","",SUM(Y19:AA19)/'Input-Utilities'!$L$14),"")</f>
        <v/>
      </c>
      <c r="AG19" s="641" t="str">
        <f>IFERROR(IF(D19="","",U19/'Input-Utilities'!$J$13),"")</f>
        <v/>
      </c>
      <c r="AH19" s="642" t="str">
        <f>IFERROR(IF($D19="","",IF(INDEX('Reference-MeasureList EULs'!D:D, MATCH('Input-EWEMs'!E19,'Reference-MeasureList EULs'!C:C,0))=0,"",INDEX('Reference-MeasureList EULs'!D:D, MATCH('Input-EWEMs'!E19,'Reference-MeasureList EULs'!C:C,0)))),"")</f>
        <v/>
      </c>
    </row>
    <row r="20" spans="3:34">
      <c r="C20" s="643">
        <v>9</v>
      </c>
      <c r="D20" s="644"/>
      <c r="E20" s="645"/>
      <c r="F20" s="646"/>
      <c r="G20" s="647"/>
      <c r="H20" s="648"/>
      <c r="I20" s="649"/>
      <c r="J20" s="628" t="str">
        <f>IFERROR(IF(I20=0,"",I20/'Input-Property'!$D$42),"")</f>
        <v/>
      </c>
      <c r="K20" s="650"/>
      <c r="L20" s="651"/>
      <c r="M20" s="651"/>
      <c r="N20" s="631" t="str">
        <f t="shared" si="0"/>
        <v/>
      </c>
      <c r="O20" s="652"/>
      <c r="P20" s="651"/>
      <c r="Q20" s="631" t="str">
        <f t="shared" si="1"/>
        <v/>
      </c>
      <c r="R20" s="653"/>
      <c r="S20" s="497"/>
      <c r="T20" s="497"/>
      <c r="U20" s="654"/>
      <c r="V20" s="634" t="str">
        <f>IF(R20="","",IFERROR(R20*INDEX(Assumptions!$D$6:$D$22,MATCH('Input-EWEMs'!R$11,Assumptions!$C$6:$C$22,0))/1000,""))</f>
        <v/>
      </c>
      <c r="W20" s="635" t="str">
        <f>IF(S20="","",IFERROR(S20*INDEX(Assumptions!$D$6:$D$22,MATCH('Input-EWEMs'!S$11,Assumptions!$C$6:$C$22,0))/1000,""))</f>
        <v/>
      </c>
      <c r="X20" s="636" t="str">
        <f>IF(T20="","",IFERROR(T20*INDEX(Assumptions!$D$6:$D$22,MATCH('Input-EWEMs'!T$11,Assumptions!$C$6:$C$22,0))/1000,""))</f>
        <v/>
      </c>
      <c r="Y20" s="634" t="str">
        <f>IF(V20="","",IFERROR(V20*INDEX(Assumptions!$E$6:$E$22,MATCH('Input-EWEMs'!Y$10,Assumptions!$B$6:$B$22,0)),""))</f>
        <v/>
      </c>
      <c r="Z20" s="635" t="str">
        <f>IF(W20="","",IFERROR(W20*INDEX(Assumptions!$E$6:$E$22,MATCH('Input-EWEMs'!Z$10,Assumptions!$B$6:$B$22,0)),""))</f>
        <v/>
      </c>
      <c r="AA20" s="636" t="str">
        <f>IF(X20="","",IFERROR(X20*INDEX(Assumptions!$E$6:$E$22,MATCH('Input-EWEMs'!AA$10,Assumptions!$B$6:$B$22,0)),""))</f>
        <v/>
      </c>
      <c r="AB20" s="637">
        <f t="shared" si="2"/>
        <v>0</v>
      </c>
      <c r="AC20" s="635">
        <f t="shared" si="3"/>
        <v>0</v>
      </c>
      <c r="AD20" s="635" t="str">
        <f>IF(U20="","",IFERROR(U20*INDEX(Assumptions!$D$24:$D$27,MATCH('Input-EWEMs'!U$11,Assumptions!$C$24:$C$27,0))/1000,""))</f>
        <v/>
      </c>
      <c r="AE20" s="636">
        <f>IFERROR(R20*INDEX(Assumptions!$H$6:$H$22,MATCH('Input-EWEMs'!R$11,Assumptions!$C$6:$C$22,0)),0)+IFERROR(S20*INDEX(Assumptions!$H$6:$H$22,MATCH('Input-EWEMs'!S$11,Assumptions!$C$6:$C$22,0)),0)+IFERROR(T20*INDEX(Assumptions!$H$6:$H$22,MATCH('Input-EWEMs'!T$11,Assumptions!$C$6:$C$22,0)),0)</f>
        <v>0</v>
      </c>
      <c r="AF20" s="640" t="str">
        <f>IFERROR(IF(D20="","",SUM(Y20:AA20)/'Input-Utilities'!$L$14),"")</f>
        <v/>
      </c>
      <c r="AG20" s="641" t="str">
        <f>IFERROR(IF(D20="","",U20/'Input-Utilities'!$J$13),"")</f>
        <v/>
      </c>
      <c r="AH20" s="642" t="str">
        <f>IFERROR(IF($D20="","",IF(INDEX('Reference-MeasureList EULs'!D:D, MATCH('Input-EWEMs'!E20,'Reference-MeasureList EULs'!C:C,0))=0,"",INDEX('Reference-MeasureList EULs'!D:D, MATCH('Input-EWEMs'!E20,'Reference-MeasureList EULs'!C:C,0)))),"")</f>
        <v/>
      </c>
    </row>
    <row r="21" spans="3:34">
      <c r="C21" s="643">
        <v>10</v>
      </c>
      <c r="D21" s="644"/>
      <c r="E21" s="645"/>
      <c r="F21" s="646"/>
      <c r="G21" s="647"/>
      <c r="H21" s="648"/>
      <c r="I21" s="649"/>
      <c r="J21" s="628" t="str">
        <f>IFERROR(IF(I21=0,"",I21/'Input-Property'!$D$42),"")</f>
        <v/>
      </c>
      <c r="K21" s="650"/>
      <c r="L21" s="651"/>
      <c r="M21" s="651"/>
      <c r="N21" s="631" t="str">
        <f t="shared" si="0"/>
        <v/>
      </c>
      <c r="O21" s="652"/>
      <c r="P21" s="651"/>
      <c r="Q21" s="631" t="str">
        <f t="shared" si="1"/>
        <v/>
      </c>
      <c r="R21" s="653"/>
      <c r="S21" s="497"/>
      <c r="T21" s="497"/>
      <c r="U21" s="654"/>
      <c r="V21" s="634" t="str">
        <f>IF(R21="","",IFERROR(R21*INDEX(Assumptions!$D$6:$D$22,MATCH('Input-EWEMs'!R$11,Assumptions!$C$6:$C$22,0))/1000,""))</f>
        <v/>
      </c>
      <c r="W21" s="635" t="str">
        <f>IF(S21="","",IFERROR(S21*INDEX(Assumptions!$D$6:$D$22,MATCH('Input-EWEMs'!S$11,Assumptions!$C$6:$C$22,0))/1000,""))</f>
        <v/>
      </c>
      <c r="X21" s="636" t="str">
        <f>IF(T21="","",IFERROR(T21*INDEX(Assumptions!$D$6:$D$22,MATCH('Input-EWEMs'!T$11,Assumptions!$C$6:$C$22,0))/1000,""))</f>
        <v/>
      </c>
      <c r="Y21" s="634" t="str">
        <f>IF(V21="","",IFERROR(V21*INDEX(Assumptions!$E$6:$E$22,MATCH('Input-EWEMs'!Y$10,Assumptions!$B$6:$B$22,0)),""))</f>
        <v/>
      </c>
      <c r="Z21" s="635" t="str">
        <f>IF(W21="","",IFERROR(W21*INDEX(Assumptions!$E$6:$E$22,MATCH('Input-EWEMs'!Z$10,Assumptions!$B$6:$B$22,0)),""))</f>
        <v/>
      </c>
      <c r="AA21" s="636" t="str">
        <f>IF(X21="","",IFERROR(X21*INDEX(Assumptions!$E$6:$E$22,MATCH('Input-EWEMs'!AA$10,Assumptions!$B$6:$B$22,0)),""))</f>
        <v/>
      </c>
      <c r="AB21" s="637">
        <f t="shared" si="2"/>
        <v>0</v>
      </c>
      <c r="AC21" s="635">
        <f t="shared" si="3"/>
        <v>0</v>
      </c>
      <c r="AD21" s="635" t="str">
        <f>IF(U21="","",IFERROR(U21*INDEX(Assumptions!$D$24:$D$27,MATCH('Input-EWEMs'!U$11,Assumptions!$C$24:$C$27,0))/1000,""))</f>
        <v/>
      </c>
      <c r="AE21" s="636">
        <f>IFERROR(R21*INDEX(Assumptions!$H$6:$H$22,MATCH('Input-EWEMs'!R$11,Assumptions!$C$6:$C$22,0)),0)+IFERROR(S21*INDEX(Assumptions!$H$6:$H$22,MATCH('Input-EWEMs'!S$11,Assumptions!$C$6:$C$22,0)),0)+IFERROR(T21*INDEX(Assumptions!$H$6:$H$22,MATCH('Input-EWEMs'!T$11,Assumptions!$C$6:$C$22,0)),0)</f>
        <v>0</v>
      </c>
      <c r="AF21" s="640" t="str">
        <f>IFERROR(IF(D21="","",SUM(Y21:AA21)/'Input-Utilities'!$L$14),"")</f>
        <v/>
      </c>
      <c r="AG21" s="641" t="str">
        <f>IFERROR(IF(D21="","",U21/'Input-Utilities'!$J$13),"")</f>
        <v/>
      </c>
      <c r="AH21" s="642" t="str">
        <f>IFERROR(IF($D21="","",IF(INDEX('Reference-MeasureList EULs'!D:D, MATCH('Input-EWEMs'!E21,'Reference-MeasureList EULs'!C:C,0))=0,"",INDEX('Reference-MeasureList EULs'!D:D, MATCH('Input-EWEMs'!E21,'Reference-MeasureList EULs'!C:C,0)))),"")</f>
        <v/>
      </c>
    </row>
    <row r="22" spans="3:34">
      <c r="C22" s="643">
        <v>11</v>
      </c>
      <c r="D22" s="644"/>
      <c r="E22" s="645"/>
      <c r="F22" s="646"/>
      <c r="G22" s="647"/>
      <c r="H22" s="648"/>
      <c r="I22" s="649"/>
      <c r="J22" s="628" t="str">
        <f>IFERROR(IF(I22=0,"",I22/'Input-Property'!$D$42),"")</f>
        <v/>
      </c>
      <c r="K22" s="650"/>
      <c r="L22" s="651"/>
      <c r="M22" s="651"/>
      <c r="N22" s="631" t="str">
        <f t="shared" si="0"/>
        <v/>
      </c>
      <c r="O22" s="652"/>
      <c r="P22" s="651"/>
      <c r="Q22" s="631" t="str">
        <f t="shared" si="1"/>
        <v/>
      </c>
      <c r="R22" s="653"/>
      <c r="S22" s="497"/>
      <c r="T22" s="497"/>
      <c r="U22" s="654"/>
      <c r="V22" s="634" t="str">
        <f>IF(R22="","",IFERROR(R22*INDEX(Assumptions!$D$6:$D$22,MATCH('Input-EWEMs'!R$11,Assumptions!$C$6:$C$22,0))/1000,""))</f>
        <v/>
      </c>
      <c r="W22" s="635" t="str">
        <f>IF(S22="","",IFERROR(S22*INDEX(Assumptions!$D$6:$D$22,MATCH('Input-EWEMs'!S$11,Assumptions!$C$6:$C$22,0))/1000,""))</f>
        <v/>
      </c>
      <c r="X22" s="636" t="str">
        <f>IF(T22="","",IFERROR(T22*INDEX(Assumptions!$D$6:$D$22,MATCH('Input-EWEMs'!T$11,Assumptions!$C$6:$C$22,0))/1000,""))</f>
        <v/>
      </c>
      <c r="Y22" s="634" t="str">
        <f>IF(V22="","",IFERROR(V22*INDEX(Assumptions!$E$6:$E$22,MATCH('Input-EWEMs'!Y$10,Assumptions!$B$6:$B$22,0)),""))</f>
        <v/>
      </c>
      <c r="Z22" s="635" t="str">
        <f>IF(W22="","",IFERROR(W22*INDEX(Assumptions!$E$6:$E$22,MATCH('Input-EWEMs'!Z$10,Assumptions!$B$6:$B$22,0)),""))</f>
        <v/>
      </c>
      <c r="AA22" s="636" t="str">
        <f>IF(X22="","",IFERROR(X22*INDEX(Assumptions!$E$6:$E$22,MATCH('Input-EWEMs'!AA$10,Assumptions!$B$6:$B$22,0)),""))</f>
        <v/>
      </c>
      <c r="AB22" s="637">
        <f t="shared" si="2"/>
        <v>0</v>
      </c>
      <c r="AC22" s="635">
        <f t="shared" si="3"/>
        <v>0</v>
      </c>
      <c r="AD22" s="635" t="str">
        <f>IF(U22="","",IFERROR(U22*INDEX(Assumptions!$D$24:$D$27,MATCH('Input-EWEMs'!U$11,Assumptions!$C$24:$C$27,0))/1000,""))</f>
        <v/>
      </c>
      <c r="AE22" s="636">
        <f>IFERROR(R22*INDEX(Assumptions!$H$6:$H$22,MATCH('Input-EWEMs'!R$11,Assumptions!$C$6:$C$22,0)),0)+IFERROR(S22*INDEX(Assumptions!$H$6:$H$22,MATCH('Input-EWEMs'!S$11,Assumptions!$C$6:$C$22,0)),0)+IFERROR(T22*INDEX(Assumptions!$H$6:$H$22,MATCH('Input-EWEMs'!T$11,Assumptions!$C$6:$C$22,0)),0)</f>
        <v>0</v>
      </c>
      <c r="AF22" s="640" t="str">
        <f>IFERROR(IF(D22="","",SUM(Y22:AA22)/'Input-Utilities'!$L$14),"")</f>
        <v/>
      </c>
      <c r="AG22" s="641" t="str">
        <f>IFERROR(IF(D22="","",U22/'Input-Utilities'!$J$13),"")</f>
        <v/>
      </c>
      <c r="AH22" s="642" t="str">
        <f>IFERROR(IF($D22="","",IF(INDEX('Reference-MeasureList EULs'!D:D, MATCH('Input-EWEMs'!E22,'Reference-MeasureList EULs'!C:C,0))=0,"",INDEX('Reference-MeasureList EULs'!D:D, MATCH('Input-EWEMs'!E22,'Reference-MeasureList EULs'!C:C,0)))),"")</f>
        <v/>
      </c>
    </row>
    <row r="23" spans="3:34">
      <c r="C23" s="643">
        <v>12</v>
      </c>
      <c r="D23" s="644"/>
      <c r="E23" s="645"/>
      <c r="F23" s="646"/>
      <c r="G23" s="647"/>
      <c r="H23" s="648"/>
      <c r="I23" s="649"/>
      <c r="J23" s="628" t="str">
        <f>IFERROR(IF(I23=0,"",I23/'Input-Property'!$D$42),"")</f>
        <v/>
      </c>
      <c r="K23" s="650"/>
      <c r="L23" s="651"/>
      <c r="M23" s="651"/>
      <c r="N23" s="631" t="str">
        <f t="shared" si="0"/>
        <v/>
      </c>
      <c r="O23" s="652"/>
      <c r="P23" s="651"/>
      <c r="Q23" s="631" t="str">
        <f t="shared" si="1"/>
        <v/>
      </c>
      <c r="R23" s="653"/>
      <c r="S23" s="497"/>
      <c r="T23" s="497"/>
      <c r="U23" s="654"/>
      <c r="V23" s="634" t="str">
        <f>IF(R23="","",IFERROR(R23*INDEX(Assumptions!$D$6:$D$22,MATCH('Input-EWEMs'!R$11,Assumptions!$C$6:$C$22,0))/1000,""))</f>
        <v/>
      </c>
      <c r="W23" s="635" t="str">
        <f>IF(S23="","",IFERROR(S23*INDEX(Assumptions!$D$6:$D$22,MATCH('Input-EWEMs'!S$11,Assumptions!$C$6:$C$22,0))/1000,""))</f>
        <v/>
      </c>
      <c r="X23" s="636" t="str">
        <f>IF(T23="","",IFERROR(T23*INDEX(Assumptions!$D$6:$D$22,MATCH('Input-EWEMs'!T$11,Assumptions!$C$6:$C$22,0))/1000,""))</f>
        <v/>
      </c>
      <c r="Y23" s="634" t="str">
        <f>IF(V23="","",IFERROR(V23*INDEX(Assumptions!$E$6:$E$22,MATCH('Input-EWEMs'!Y$10,Assumptions!$B$6:$B$22,0)),""))</f>
        <v/>
      </c>
      <c r="Z23" s="635" t="str">
        <f>IF(W23="","",IFERROR(W23*INDEX(Assumptions!$E$6:$E$22,MATCH('Input-EWEMs'!Z$10,Assumptions!$B$6:$B$22,0)),""))</f>
        <v/>
      </c>
      <c r="AA23" s="636" t="str">
        <f>IF(X23="","",IFERROR(X23*INDEX(Assumptions!$E$6:$E$22,MATCH('Input-EWEMs'!AA$10,Assumptions!$B$6:$B$22,0)),""))</f>
        <v/>
      </c>
      <c r="AB23" s="637">
        <f t="shared" si="2"/>
        <v>0</v>
      </c>
      <c r="AC23" s="635">
        <f t="shared" si="3"/>
        <v>0</v>
      </c>
      <c r="AD23" s="635" t="str">
        <f>IF(U23="","",IFERROR(U23*INDEX(Assumptions!$D$24:$D$27,MATCH('Input-EWEMs'!U$11,Assumptions!$C$24:$C$27,0))/1000,""))</f>
        <v/>
      </c>
      <c r="AE23" s="636">
        <f>IFERROR(R23*INDEX(Assumptions!$H$6:$H$22,MATCH('Input-EWEMs'!R$11,Assumptions!$C$6:$C$22,0)),0)+IFERROR(S23*INDEX(Assumptions!$H$6:$H$22,MATCH('Input-EWEMs'!S$11,Assumptions!$C$6:$C$22,0)),0)+IFERROR(T23*INDEX(Assumptions!$H$6:$H$22,MATCH('Input-EWEMs'!T$11,Assumptions!$C$6:$C$22,0)),0)</f>
        <v>0</v>
      </c>
      <c r="AF23" s="640" t="str">
        <f>IFERROR(IF(D23="","",SUM(Y23:AA23)/'Input-Utilities'!$L$14),"")</f>
        <v/>
      </c>
      <c r="AG23" s="641" t="str">
        <f>IFERROR(IF(D23="","",U23/'Input-Utilities'!$J$13),"")</f>
        <v/>
      </c>
      <c r="AH23" s="642" t="str">
        <f>IFERROR(IF($D23="","",IF(INDEX('Reference-MeasureList EULs'!D:D, MATCH('Input-EWEMs'!E23,'Reference-MeasureList EULs'!C:C,0))=0,"",INDEX('Reference-MeasureList EULs'!D:D, MATCH('Input-EWEMs'!E23,'Reference-MeasureList EULs'!C:C,0)))),"")</f>
        <v/>
      </c>
    </row>
    <row r="24" spans="3:34">
      <c r="C24" s="643">
        <v>13</v>
      </c>
      <c r="D24" s="644"/>
      <c r="E24" s="645"/>
      <c r="F24" s="646"/>
      <c r="G24" s="647"/>
      <c r="H24" s="648"/>
      <c r="I24" s="649"/>
      <c r="J24" s="628" t="str">
        <f>IFERROR(IF(I24=0,"",I24/'Input-Property'!$D$42),"")</f>
        <v/>
      </c>
      <c r="K24" s="650"/>
      <c r="L24" s="651"/>
      <c r="M24" s="651"/>
      <c r="N24" s="631" t="str">
        <f t="shared" si="0"/>
        <v/>
      </c>
      <c r="O24" s="652"/>
      <c r="P24" s="651"/>
      <c r="Q24" s="631" t="str">
        <f t="shared" si="1"/>
        <v/>
      </c>
      <c r="R24" s="653"/>
      <c r="S24" s="497"/>
      <c r="T24" s="497"/>
      <c r="U24" s="654"/>
      <c r="V24" s="634" t="str">
        <f>IF(R24="","",IFERROR(R24*INDEX(Assumptions!$D$6:$D$22,MATCH('Input-EWEMs'!R$11,Assumptions!$C$6:$C$22,0))/1000,""))</f>
        <v/>
      </c>
      <c r="W24" s="635" t="str">
        <f>IF(S24="","",IFERROR(S24*INDEX(Assumptions!$D$6:$D$22,MATCH('Input-EWEMs'!S$11,Assumptions!$C$6:$C$22,0))/1000,""))</f>
        <v/>
      </c>
      <c r="X24" s="636" t="str">
        <f>IF(T24="","",IFERROR(T24*INDEX(Assumptions!$D$6:$D$22,MATCH('Input-EWEMs'!T$11,Assumptions!$C$6:$C$22,0))/1000,""))</f>
        <v/>
      </c>
      <c r="Y24" s="634" t="str">
        <f>IF(V24="","",IFERROR(V24*INDEX(Assumptions!$E$6:$E$22,MATCH('Input-EWEMs'!Y$10,Assumptions!$B$6:$B$22,0)),""))</f>
        <v/>
      </c>
      <c r="Z24" s="635" t="str">
        <f>IF(W24="","",IFERROR(W24*INDEX(Assumptions!$E$6:$E$22,MATCH('Input-EWEMs'!Z$10,Assumptions!$B$6:$B$22,0)),""))</f>
        <v/>
      </c>
      <c r="AA24" s="636" t="str">
        <f>IF(X24="","",IFERROR(X24*INDEX(Assumptions!$E$6:$E$22,MATCH('Input-EWEMs'!AA$10,Assumptions!$B$6:$B$22,0)),""))</f>
        <v/>
      </c>
      <c r="AB24" s="637">
        <f t="shared" si="2"/>
        <v>0</v>
      </c>
      <c r="AC24" s="635">
        <f t="shared" si="3"/>
        <v>0</v>
      </c>
      <c r="AD24" s="635" t="str">
        <f>IF(U24="","",IFERROR(U24*INDEX(Assumptions!$D$24:$D$27,MATCH('Input-EWEMs'!U$11,Assumptions!$C$24:$C$27,0))/1000,""))</f>
        <v/>
      </c>
      <c r="AE24" s="636">
        <f>IFERROR(R24*INDEX(Assumptions!$H$6:$H$22,MATCH('Input-EWEMs'!R$11,Assumptions!$C$6:$C$22,0)),0)+IFERROR(S24*INDEX(Assumptions!$H$6:$H$22,MATCH('Input-EWEMs'!S$11,Assumptions!$C$6:$C$22,0)),0)+IFERROR(T24*INDEX(Assumptions!$H$6:$H$22,MATCH('Input-EWEMs'!T$11,Assumptions!$C$6:$C$22,0)),0)</f>
        <v>0</v>
      </c>
      <c r="AF24" s="640" t="str">
        <f>IFERROR(IF(D24="","",SUM(Y24:AA24)/'Input-Utilities'!$L$14),"")</f>
        <v/>
      </c>
      <c r="AG24" s="641" t="str">
        <f>IFERROR(IF(D24="","",U24/'Input-Utilities'!$J$13),"")</f>
        <v/>
      </c>
      <c r="AH24" s="642" t="str">
        <f>IFERROR(IF($D24="","",IF(INDEX('Reference-MeasureList EULs'!D:D, MATCH('Input-EWEMs'!E24,'Reference-MeasureList EULs'!C:C,0))=0,"",INDEX('Reference-MeasureList EULs'!D:D, MATCH('Input-EWEMs'!E24,'Reference-MeasureList EULs'!C:C,0)))),"")</f>
        <v/>
      </c>
    </row>
    <row r="25" spans="3:34">
      <c r="C25" s="643">
        <v>14</v>
      </c>
      <c r="D25" s="644"/>
      <c r="E25" s="645"/>
      <c r="F25" s="646"/>
      <c r="G25" s="647"/>
      <c r="H25" s="648"/>
      <c r="I25" s="649"/>
      <c r="J25" s="628" t="str">
        <f>IFERROR(IF(I25=0,"",I25/'Input-Property'!$D$42),"")</f>
        <v/>
      </c>
      <c r="K25" s="650"/>
      <c r="L25" s="651"/>
      <c r="M25" s="651"/>
      <c r="N25" s="631" t="str">
        <f t="shared" si="0"/>
        <v/>
      </c>
      <c r="O25" s="652"/>
      <c r="P25" s="651"/>
      <c r="Q25" s="631" t="str">
        <f t="shared" si="1"/>
        <v/>
      </c>
      <c r="R25" s="653"/>
      <c r="S25" s="497"/>
      <c r="T25" s="497"/>
      <c r="U25" s="654"/>
      <c r="V25" s="634" t="str">
        <f>IF(R25="","",IFERROR(R25*INDEX(Assumptions!$D$6:$D$22,MATCH('Input-EWEMs'!R$11,Assumptions!$C$6:$C$22,0))/1000,""))</f>
        <v/>
      </c>
      <c r="W25" s="635" t="str">
        <f>IF(S25="","",IFERROR(S25*INDEX(Assumptions!$D$6:$D$22,MATCH('Input-EWEMs'!S$11,Assumptions!$C$6:$C$22,0))/1000,""))</f>
        <v/>
      </c>
      <c r="X25" s="636" t="str">
        <f>IF(T25="","",IFERROR(T25*INDEX(Assumptions!$D$6:$D$22,MATCH('Input-EWEMs'!T$11,Assumptions!$C$6:$C$22,0))/1000,""))</f>
        <v/>
      </c>
      <c r="Y25" s="634" t="str">
        <f>IF(V25="","",IFERROR(V25*INDEX(Assumptions!$E$6:$E$22,MATCH('Input-EWEMs'!Y$10,Assumptions!$B$6:$B$22,0)),""))</f>
        <v/>
      </c>
      <c r="Z25" s="635" t="str">
        <f>IF(W25="","",IFERROR(W25*INDEX(Assumptions!$E$6:$E$22,MATCH('Input-EWEMs'!Z$10,Assumptions!$B$6:$B$22,0)),""))</f>
        <v/>
      </c>
      <c r="AA25" s="636" t="str">
        <f>IF(X25="","",IFERROR(X25*INDEX(Assumptions!$E$6:$E$22,MATCH('Input-EWEMs'!AA$10,Assumptions!$B$6:$B$22,0)),""))</f>
        <v/>
      </c>
      <c r="AB25" s="637">
        <f t="shared" si="2"/>
        <v>0</v>
      </c>
      <c r="AC25" s="635">
        <f t="shared" si="3"/>
        <v>0</v>
      </c>
      <c r="AD25" s="635" t="str">
        <f>IF(U25="","",IFERROR(U25*INDEX(Assumptions!$D$24:$D$27,MATCH('Input-EWEMs'!U$11,Assumptions!$C$24:$C$27,0))/1000,""))</f>
        <v/>
      </c>
      <c r="AE25" s="636">
        <f>IFERROR(R25*INDEX(Assumptions!$H$6:$H$22,MATCH('Input-EWEMs'!R$11,Assumptions!$C$6:$C$22,0)),0)+IFERROR(S25*INDEX(Assumptions!$H$6:$H$22,MATCH('Input-EWEMs'!S$11,Assumptions!$C$6:$C$22,0)),0)+IFERROR(T25*INDEX(Assumptions!$H$6:$H$22,MATCH('Input-EWEMs'!T$11,Assumptions!$C$6:$C$22,0)),0)</f>
        <v>0</v>
      </c>
      <c r="AF25" s="640" t="str">
        <f>IFERROR(IF(D25="","",SUM(Y25:AA25)/'Input-Utilities'!$L$14),"")</f>
        <v/>
      </c>
      <c r="AG25" s="641" t="str">
        <f>IFERROR(IF(D25="","",U25/'Input-Utilities'!$J$13),"")</f>
        <v/>
      </c>
      <c r="AH25" s="642" t="str">
        <f>IFERROR(IF($D25="","",IF(INDEX('Reference-MeasureList EULs'!D:D, MATCH('Input-EWEMs'!E25,'Reference-MeasureList EULs'!C:C,0))=0,"",INDEX('Reference-MeasureList EULs'!D:D, MATCH('Input-EWEMs'!E25,'Reference-MeasureList EULs'!C:C,0)))),"")</f>
        <v/>
      </c>
    </row>
    <row r="26" spans="3:34">
      <c r="C26" s="643">
        <v>15</v>
      </c>
      <c r="D26" s="644"/>
      <c r="E26" s="645"/>
      <c r="F26" s="646"/>
      <c r="G26" s="647"/>
      <c r="H26" s="648"/>
      <c r="I26" s="649"/>
      <c r="J26" s="628" t="str">
        <f>IFERROR(IF(I26=0,"",I26/'Input-Property'!$D$42),"")</f>
        <v/>
      </c>
      <c r="K26" s="650"/>
      <c r="L26" s="651"/>
      <c r="M26" s="651"/>
      <c r="N26" s="631" t="str">
        <f t="shared" si="0"/>
        <v/>
      </c>
      <c r="O26" s="652"/>
      <c r="P26" s="651"/>
      <c r="Q26" s="631" t="str">
        <f t="shared" si="1"/>
        <v/>
      </c>
      <c r="R26" s="653"/>
      <c r="S26" s="497"/>
      <c r="T26" s="497"/>
      <c r="U26" s="654"/>
      <c r="V26" s="634" t="str">
        <f>IF(R26="","",IFERROR(R26*INDEX(Assumptions!$D$6:$D$22,MATCH('Input-EWEMs'!R$11,Assumptions!$C$6:$C$22,0))/1000,""))</f>
        <v/>
      </c>
      <c r="W26" s="635" t="str">
        <f>IF(S26="","",IFERROR(S26*INDEX(Assumptions!$D$6:$D$22,MATCH('Input-EWEMs'!S$11,Assumptions!$C$6:$C$22,0))/1000,""))</f>
        <v/>
      </c>
      <c r="X26" s="636" t="str">
        <f>IF(T26="","",IFERROR(T26*INDEX(Assumptions!$D$6:$D$22,MATCH('Input-EWEMs'!T$11,Assumptions!$C$6:$C$22,0))/1000,""))</f>
        <v/>
      </c>
      <c r="Y26" s="634" t="str">
        <f>IF(V26="","",IFERROR(V26*INDEX(Assumptions!$E$6:$E$22,MATCH('Input-EWEMs'!Y$10,Assumptions!$B$6:$B$22,0)),""))</f>
        <v/>
      </c>
      <c r="Z26" s="635" t="str">
        <f>IF(W26="","",IFERROR(W26*INDEX(Assumptions!$E$6:$E$22,MATCH('Input-EWEMs'!Z$10,Assumptions!$B$6:$B$22,0)),""))</f>
        <v/>
      </c>
      <c r="AA26" s="636" t="str">
        <f>IF(X26="","",IFERROR(X26*INDEX(Assumptions!$E$6:$E$22,MATCH('Input-EWEMs'!AA$10,Assumptions!$B$6:$B$22,0)),""))</f>
        <v/>
      </c>
      <c r="AB26" s="637">
        <f t="shared" si="2"/>
        <v>0</v>
      </c>
      <c r="AC26" s="635">
        <f t="shared" si="3"/>
        <v>0</v>
      </c>
      <c r="AD26" s="635" t="str">
        <f>IF(U26="","",IFERROR(U26*INDEX(Assumptions!$D$24:$D$27,MATCH('Input-EWEMs'!U$11,Assumptions!$C$24:$C$27,0))/1000,""))</f>
        <v/>
      </c>
      <c r="AE26" s="636">
        <f>IFERROR(R26*INDEX(Assumptions!$H$6:$H$22,MATCH('Input-EWEMs'!R$11,Assumptions!$C$6:$C$22,0)),0)+IFERROR(S26*INDEX(Assumptions!$H$6:$H$22,MATCH('Input-EWEMs'!S$11,Assumptions!$C$6:$C$22,0)),0)+IFERROR(T26*INDEX(Assumptions!$H$6:$H$22,MATCH('Input-EWEMs'!T$11,Assumptions!$C$6:$C$22,0)),0)</f>
        <v>0</v>
      </c>
      <c r="AF26" s="640" t="str">
        <f>IFERROR(IF(D26="","",SUM(Y26:AA26)/'Input-Utilities'!$L$14),"")</f>
        <v/>
      </c>
      <c r="AG26" s="641" t="str">
        <f>IFERROR(IF(D26="","",U26/'Input-Utilities'!$J$13),"")</f>
        <v/>
      </c>
      <c r="AH26" s="642" t="str">
        <f>IFERROR(IF($D26="","",IF(INDEX('Reference-MeasureList EULs'!D:D, MATCH('Input-EWEMs'!E26,'Reference-MeasureList EULs'!C:C,0))=0,"",INDEX('Reference-MeasureList EULs'!D:D, MATCH('Input-EWEMs'!E26,'Reference-MeasureList EULs'!C:C,0)))),"")</f>
        <v/>
      </c>
    </row>
    <row r="27" spans="3:34">
      <c r="C27" s="643">
        <v>16</v>
      </c>
      <c r="D27" s="644"/>
      <c r="E27" s="645"/>
      <c r="F27" s="646"/>
      <c r="G27" s="647"/>
      <c r="H27" s="648"/>
      <c r="I27" s="649"/>
      <c r="J27" s="628" t="str">
        <f>IFERROR(IF(I27=0,"",I27/'Input-Property'!$D$42),"")</f>
        <v/>
      </c>
      <c r="K27" s="650"/>
      <c r="L27" s="651"/>
      <c r="M27" s="651"/>
      <c r="N27" s="631" t="str">
        <f t="shared" si="0"/>
        <v/>
      </c>
      <c r="O27" s="652"/>
      <c r="P27" s="651"/>
      <c r="Q27" s="631" t="str">
        <f t="shared" si="1"/>
        <v/>
      </c>
      <c r="R27" s="653"/>
      <c r="S27" s="497"/>
      <c r="T27" s="497"/>
      <c r="U27" s="654"/>
      <c r="V27" s="634" t="str">
        <f>IF(R27="","",IFERROR(R27*INDEX(Assumptions!$D$6:$D$22,MATCH('Input-EWEMs'!R$11,Assumptions!$C$6:$C$22,0))/1000,""))</f>
        <v/>
      </c>
      <c r="W27" s="635" t="str">
        <f>IF(S27="","",IFERROR(S27*INDEX(Assumptions!$D$6:$D$22,MATCH('Input-EWEMs'!S$11,Assumptions!$C$6:$C$22,0))/1000,""))</f>
        <v/>
      </c>
      <c r="X27" s="636" t="str">
        <f>IF(T27="","",IFERROR(T27*INDEX(Assumptions!$D$6:$D$22,MATCH('Input-EWEMs'!T$11,Assumptions!$C$6:$C$22,0))/1000,""))</f>
        <v/>
      </c>
      <c r="Y27" s="634" t="str">
        <f>IF(V27="","",IFERROR(V27*INDEX(Assumptions!$E$6:$E$22,MATCH('Input-EWEMs'!Y$10,Assumptions!$B$6:$B$22,0)),""))</f>
        <v/>
      </c>
      <c r="Z27" s="635" t="str">
        <f>IF(W27="","",IFERROR(W27*INDEX(Assumptions!$E$6:$E$22,MATCH('Input-EWEMs'!Z$10,Assumptions!$B$6:$B$22,0)),""))</f>
        <v/>
      </c>
      <c r="AA27" s="636" t="str">
        <f>IF(X27="","",IFERROR(X27*INDEX(Assumptions!$E$6:$E$22,MATCH('Input-EWEMs'!AA$10,Assumptions!$B$6:$B$22,0)),""))</f>
        <v/>
      </c>
      <c r="AB27" s="637">
        <f t="shared" si="2"/>
        <v>0</v>
      </c>
      <c r="AC27" s="635">
        <f t="shared" si="3"/>
        <v>0</v>
      </c>
      <c r="AD27" s="635" t="str">
        <f>IF(U27="","",IFERROR(U27*INDEX(Assumptions!$D$24:$D$27,MATCH('Input-EWEMs'!U$11,Assumptions!$C$24:$C$27,0))/1000,""))</f>
        <v/>
      </c>
      <c r="AE27" s="636">
        <f>IFERROR(R27*INDEX(Assumptions!$H$6:$H$22,MATCH('Input-EWEMs'!R$11,Assumptions!$C$6:$C$22,0)),0)+IFERROR(S27*INDEX(Assumptions!$H$6:$H$22,MATCH('Input-EWEMs'!S$11,Assumptions!$C$6:$C$22,0)),0)+IFERROR(T27*INDEX(Assumptions!$H$6:$H$22,MATCH('Input-EWEMs'!T$11,Assumptions!$C$6:$C$22,0)),0)</f>
        <v>0</v>
      </c>
      <c r="AF27" s="640" t="str">
        <f>IFERROR(IF(D27="","",SUM(Y27:AA27)/'Input-Utilities'!$L$14),"")</f>
        <v/>
      </c>
      <c r="AG27" s="641" t="str">
        <f>IFERROR(IF(D27="","",U27/'Input-Utilities'!$J$13),"")</f>
        <v/>
      </c>
      <c r="AH27" s="642" t="str">
        <f>IFERROR(IF($D27="","",IF(INDEX('Reference-MeasureList EULs'!D:D, MATCH('Input-EWEMs'!E27,'Reference-MeasureList EULs'!C:C,0))=0,"",INDEX('Reference-MeasureList EULs'!D:D, MATCH('Input-EWEMs'!E27,'Reference-MeasureList EULs'!C:C,0)))),"")</f>
        <v/>
      </c>
    </row>
    <row r="28" spans="3:34">
      <c r="C28" s="643">
        <v>17</v>
      </c>
      <c r="D28" s="644"/>
      <c r="E28" s="645"/>
      <c r="F28" s="646"/>
      <c r="G28" s="647"/>
      <c r="H28" s="648"/>
      <c r="I28" s="649"/>
      <c r="J28" s="628" t="str">
        <f>IFERROR(IF(I28=0,"",I28/'Input-Property'!$D$42),"")</f>
        <v/>
      </c>
      <c r="K28" s="650"/>
      <c r="L28" s="651"/>
      <c r="M28" s="651"/>
      <c r="N28" s="631" t="str">
        <f t="shared" si="0"/>
        <v/>
      </c>
      <c r="O28" s="652"/>
      <c r="P28" s="651"/>
      <c r="Q28" s="631" t="str">
        <f t="shared" si="1"/>
        <v/>
      </c>
      <c r="R28" s="653"/>
      <c r="S28" s="497"/>
      <c r="T28" s="497"/>
      <c r="U28" s="654"/>
      <c r="V28" s="634" t="str">
        <f>IF(R28="","",IFERROR(R28*INDEX(Assumptions!$D$6:$D$22,MATCH('Input-EWEMs'!R$11,Assumptions!$C$6:$C$22,0))/1000,""))</f>
        <v/>
      </c>
      <c r="W28" s="635" t="str">
        <f>IF(S28="","",IFERROR(S28*INDEX(Assumptions!$D$6:$D$22,MATCH('Input-EWEMs'!S$11,Assumptions!$C$6:$C$22,0))/1000,""))</f>
        <v/>
      </c>
      <c r="X28" s="636" t="str">
        <f>IF(T28="","",IFERROR(T28*INDEX(Assumptions!$D$6:$D$22,MATCH('Input-EWEMs'!T$11,Assumptions!$C$6:$C$22,0))/1000,""))</f>
        <v/>
      </c>
      <c r="Y28" s="634" t="str">
        <f>IF(V28="","",IFERROR(V28*INDEX(Assumptions!$E$6:$E$22,MATCH('Input-EWEMs'!Y$10,Assumptions!$B$6:$B$22,0)),""))</f>
        <v/>
      </c>
      <c r="Z28" s="635" t="str">
        <f>IF(W28="","",IFERROR(W28*INDEX(Assumptions!$E$6:$E$22,MATCH('Input-EWEMs'!Z$10,Assumptions!$B$6:$B$22,0)),""))</f>
        <v/>
      </c>
      <c r="AA28" s="636" t="str">
        <f>IF(X28="","",IFERROR(X28*INDEX(Assumptions!$E$6:$E$22,MATCH('Input-EWEMs'!AA$10,Assumptions!$B$6:$B$22,0)),""))</f>
        <v/>
      </c>
      <c r="AB28" s="637">
        <f t="shared" si="2"/>
        <v>0</v>
      </c>
      <c r="AC28" s="635">
        <f t="shared" si="3"/>
        <v>0</v>
      </c>
      <c r="AD28" s="635" t="str">
        <f>IF(U28="","",IFERROR(U28*INDEX(Assumptions!$D$24:$D$27,MATCH('Input-EWEMs'!U$11,Assumptions!$C$24:$C$27,0))/1000,""))</f>
        <v/>
      </c>
      <c r="AE28" s="636">
        <f>IFERROR(R28*INDEX(Assumptions!$H$6:$H$22,MATCH('Input-EWEMs'!R$11,Assumptions!$C$6:$C$22,0)),0)+IFERROR(S28*INDEX(Assumptions!$H$6:$H$22,MATCH('Input-EWEMs'!S$11,Assumptions!$C$6:$C$22,0)),0)+IFERROR(T28*INDEX(Assumptions!$H$6:$H$22,MATCH('Input-EWEMs'!T$11,Assumptions!$C$6:$C$22,0)),0)</f>
        <v>0</v>
      </c>
      <c r="AF28" s="640" t="str">
        <f>IFERROR(IF(D28="","",SUM(Y28:AA28)/'Input-Utilities'!$L$14),"")</f>
        <v/>
      </c>
      <c r="AG28" s="641" t="str">
        <f>IFERROR(IF(D28="","",U28/'Input-Utilities'!$J$13),"")</f>
        <v/>
      </c>
      <c r="AH28" s="642" t="str">
        <f>IFERROR(IF($D28="","",IF(INDEX('Reference-MeasureList EULs'!D:D, MATCH('Input-EWEMs'!E28,'Reference-MeasureList EULs'!C:C,0))=0,"",INDEX('Reference-MeasureList EULs'!D:D, MATCH('Input-EWEMs'!E28,'Reference-MeasureList EULs'!C:C,0)))),"")</f>
        <v/>
      </c>
    </row>
    <row r="29" spans="3:34">
      <c r="C29" s="643">
        <v>18</v>
      </c>
      <c r="D29" s="644"/>
      <c r="E29" s="645"/>
      <c r="F29" s="646"/>
      <c r="G29" s="647"/>
      <c r="H29" s="648"/>
      <c r="I29" s="649"/>
      <c r="J29" s="628" t="str">
        <f>IFERROR(IF(I29=0,"",I29/'Input-Property'!$D$42),"")</f>
        <v/>
      </c>
      <c r="K29" s="650"/>
      <c r="L29" s="651"/>
      <c r="M29" s="651"/>
      <c r="N29" s="631" t="str">
        <f t="shared" si="0"/>
        <v/>
      </c>
      <c r="O29" s="652"/>
      <c r="P29" s="651"/>
      <c r="Q29" s="631" t="str">
        <f t="shared" si="1"/>
        <v/>
      </c>
      <c r="R29" s="653"/>
      <c r="S29" s="497"/>
      <c r="T29" s="497"/>
      <c r="U29" s="654"/>
      <c r="V29" s="634" t="str">
        <f>IF(R29="","",IFERROR(R29*INDEX(Assumptions!$D$6:$D$22,MATCH('Input-EWEMs'!R$11,Assumptions!$C$6:$C$22,0))/1000,""))</f>
        <v/>
      </c>
      <c r="W29" s="635" t="str">
        <f>IF(S29="","",IFERROR(S29*INDEX(Assumptions!$D$6:$D$22,MATCH('Input-EWEMs'!S$11,Assumptions!$C$6:$C$22,0))/1000,""))</f>
        <v/>
      </c>
      <c r="X29" s="636" t="str">
        <f>IF(T29="","",IFERROR(T29*INDEX(Assumptions!$D$6:$D$22,MATCH('Input-EWEMs'!T$11,Assumptions!$C$6:$C$22,0))/1000,""))</f>
        <v/>
      </c>
      <c r="Y29" s="634" t="str">
        <f>IF(V29="","",IFERROR(V29*INDEX(Assumptions!$E$6:$E$22,MATCH('Input-EWEMs'!Y$10,Assumptions!$B$6:$B$22,0)),""))</f>
        <v/>
      </c>
      <c r="Z29" s="635" t="str">
        <f>IF(W29="","",IFERROR(W29*INDEX(Assumptions!$E$6:$E$22,MATCH('Input-EWEMs'!Z$10,Assumptions!$B$6:$B$22,0)),""))</f>
        <v/>
      </c>
      <c r="AA29" s="636" t="str">
        <f>IF(X29="","",IFERROR(X29*INDEX(Assumptions!$E$6:$E$22,MATCH('Input-EWEMs'!AA$10,Assumptions!$B$6:$B$22,0)),""))</f>
        <v/>
      </c>
      <c r="AB29" s="637">
        <f t="shared" ref="AB29:AB30" si="4">SUM(V29:X29)</f>
        <v>0</v>
      </c>
      <c r="AC29" s="635">
        <f t="shared" ref="AC29:AC30" si="5">SUM(Y29:AA29)</f>
        <v>0</v>
      </c>
      <c r="AD29" s="635" t="str">
        <f>IF(U29="","",IFERROR(U29*INDEX(Assumptions!$D$24:$D$27,MATCH('Input-EWEMs'!U$11,Assumptions!$C$24:$C$27,0))/1000,""))</f>
        <v/>
      </c>
      <c r="AE29" s="636">
        <f>IFERROR(R29*INDEX(Assumptions!$H$6:$H$22,MATCH('Input-EWEMs'!R$11,Assumptions!$C$6:$C$22,0)),0)+IFERROR(S29*INDEX(Assumptions!$H$6:$H$22,MATCH('Input-EWEMs'!S$11,Assumptions!$C$6:$C$22,0)),0)+IFERROR(T29*INDEX(Assumptions!$H$6:$H$22,MATCH('Input-EWEMs'!T$11,Assumptions!$C$6:$C$22,0)),0)</f>
        <v>0</v>
      </c>
      <c r="AF29" s="640" t="str">
        <f>IFERROR(IF(D29="","",SUM(Y29:AA29)/'Input-Utilities'!$L$14),"")</f>
        <v/>
      </c>
      <c r="AG29" s="641" t="str">
        <f>IFERROR(IF(D29="","",U29/'Input-Utilities'!$J$13),"")</f>
        <v/>
      </c>
      <c r="AH29" s="642" t="str">
        <f>IFERROR(IF($D29="","",IF(INDEX('Reference-MeasureList EULs'!D:D, MATCH('Input-EWEMs'!E29,'Reference-MeasureList EULs'!C:C,0))=0,"",INDEX('Reference-MeasureList EULs'!D:D, MATCH('Input-EWEMs'!E29,'Reference-MeasureList EULs'!C:C,0)))),"")</f>
        <v/>
      </c>
    </row>
    <row r="30" spans="3:34">
      <c r="C30" s="643">
        <v>19</v>
      </c>
      <c r="D30" s="644"/>
      <c r="E30" s="645"/>
      <c r="F30" s="646"/>
      <c r="G30" s="647"/>
      <c r="H30" s="648"/>
      <c r="I30" s="649"/>
      <c r="J30" s="628" t="str">
        <f>IFERROR(IF(I30=0,"",I30/'Input-Property'!$D$42),"")</f>
        <v/>
      </c>
      <c r="K30" s="650"/>
      <c r="L30" s="651"/>
      <c r="M30" s="651"/>
      <c r="N30" s="631" t="str">
        <f t="shared" si="0"/>
        <v/>
      </c>
      <c r="O30" s="652"/>
      <c r="P30" s="651"/>
      <c r="Q30" s="631" t="str">
        <f t="shared" si="1"/>
        <v/>
      </c>
      <c r="R30" s="653"/>
      <c r="S30" s="497"/>
      <c r="T30" s="497"/>
      <c r="U30" s="654"/>
      <c r="V30" s="634" t="str">
        <f>IF(R30="","",IFERROR(R30*INDEX(Assumptions!$D$6:$D$22,MATCH('Input-EWEMs'!R$11,Assumptions!$C$6:$C$22,0))/1000,""))</f>
        <v/>
      </c>
      <c r="W30" s="635" t="str">
        <f>IF(S30="","",IFERROR(S30*INDEX(Assumptions!$D$6:$D$22,MATCH('Input-EWEMs'!S$11,Assumptions!$C$6:$C$22,0))/1000,""))</f>
        <v/>
      </c>
      <c r="X30" s="636" t="str">
        <f>IF(T30="","",IFERROR(T30*INDEX(Assumptions!$D$6:$D$22,MATCH('Input-EWEMs'!T$11,Assumptions!$C$6:$C$22,0))/1000,""))</f>
        <v/>
      </c>
      <c r="Y30" s="634" t="str">
        <f>IF(V30="","",IFERROR(V30*INDEX(Assumptions!$E$6:$E$22,MATCH('Input-EWEMs'!Y$10,Assumptions!$B$6:$B$22,0)),""))</f>
        <v/>
      </c>
      <c r="Z30" s="635" t="str">
        <f>IF(W30="","",IFERROR(W30*INDEX(Assumptions!$E$6:$E$22,MATCH('Input-EWEMs'!Z$10,Assumptions!$B$6:$B$22,0)),""))</f>
        <v/>
      </c>
      <c r="AA30" s="636" t="str">
        <f>IF(X30="","",IFERROR(X30*INDEX(Assumptions!$E$6:$E$22,MATCH('Input-EWEMs'!AA$10,Assumptions!$B$6:$B$22,0)),""))</f>
        <v/>
      </c>
      <c r="AB30" s="637">
        <f t="shared" si="4"/>
        <v>0</v>
      </c>
      <c r="AC30" s="635">
        <f t="shared" si="5"/>
        <v>0</v>
      </c>
      <c r="AD30" s="635" t="str">
        <f>IF(U30="","",IFERROR(U30*INDEX(Assumptions!$D$24:$D$27,MATCH('Input-EWEMs'!U$11,Assumptions!$C$24:$C$27,0))/1000,""))</f>
        <v/>
      </c>
      <c r="AE30" s="636">
        <f>IFERROR(R30*INDEX(Assumptions!$H$6:$H$22,MATCH('Input-EWEMs'!R$11,Assumptions!$C$6:$C$22,0)),0)+IFERROR(S30*INDEX(Assumptions!$H$6:$H$22,MATCH('Input-EWEMs'!S$11,Assumptions!$C$6:$C$22,0)),0)+IFERROR(T30*INDEX(Assumptions!$H$6:$H$22,MATCH('Input-EWEMs'!T$11,Assumptions!$C$6:$C$22,0)),0)</f>
        <v>0</v>
      </c>
      <c r="AF30" s="640" t="str">
        <f>IFERROR(IF(D30="","",SUM(Y30:AA30)/'Input-Utilities'!$L$14),"")</f>
        <v/>
      </c>
      <c r="AG30" s="641" t="str">
        <f>IFERROR(IF(D30="","",U30/'Input-Utilities'!$J$13),"")</f>
        <v/>
      </c>
      <c r="AH30" s="642" t="str">
        <f>IFERROR(IF($D30="","",IF(INDEX('Reference-MeasureList EULs'!D:D, MATCH('Input-EWEMs'!E30,'Reference-MeasureList EULs'!C:C,0))=0,"",INDEX('Reference-MeasureList EULs'!D:D, MATCH('Input-EWEMs'!E30,'Reference-MeasureList EULs'!C:C,0)))),"")</f>
        <v/>
      </c>
    </row>
    <row r="31" spans="3:34">
      <c r="C31" s="643">
        <v>20</v>
      </c>
      <c r="D31" s="644"/>
      <c r="E31" s="645"/>
      <c r="F31" s="646"/>
      <c r="G31" s="647"/>
      <c r="H31" s="648"/>
      <c r="I31" s="649"/>
      <c r="J31" s="628" t="str">
        <f>IFERROR(IF(I31=0,"",I31/'Input-Property'!$D$42),"")</f>
        <v/>
      </c>
      <c r="K31" s="650"/>
      <c r="L31" s="651"/>
      <c r="M31" s="651"/>
      <c r="N31" s="631" t="str">
        <f t="shared" ref="N31:N41" si="6">IF(D31="","",SUM(L31:M31))</f>
        <v/>
      </c>
      <c r="O31" s="652"/>
      <c r="P31" s="651"/>
      <c r="Q31" s="631" t="str">
        <f t="shared" ref="Q31:Q41" si="7">IF(D31="","",SUM(O31:P31))</f>
        <v/>
      </c>
      <c r="R31" s="653"/>
      <c r="S31" s="497"/>
      <c r="T31" s="497"/>
      <c r="U31" s="654"/>
      <c r="V31" s="634" t="str">
        <f>IF(R31="","",IFERROR(R31*INDEX(Assumptions!$D$6:$D$22,MATCH('Input-EWEMs'!R$11,Assumptions!$C$6:$C$22,0))/1000,""))</f>
        <v/>
      </c>
      <c r="W31" s="635" t="str">
        <f>IF(S31="","",IFERROR(S31*INDEX(Assumptions!$D$6:$D$22,MATCH('Input-EWEMs'!S$11,Assumptions!$C$6:$C$22,0))/1000,""))</f>
        <v/>
      </c>
      <c r="X31" s="636" t="str">
        <f>IF(T31="","",IFERROR(T31*INDEX(Assumptions!$D$6:$D$22,MATCH('Input-EWEMs'!T$11,Assumptions!$C$6:$C$22,0))/1000,""))</f>
        <v/>
      </c>
      <c r="Y31" s="634" t="str">
        <f>IF(V31="","",IFERROR(V31*INDEX(Assumptions!$E$6:$E$22,MATCH('Input-EWEMs'!Y$10,Assumptions!$B$6:$B$22,0)),""))</f>
        <v/>
      </c>
      <c r="Z31" s="635" t="str">
        <f>IF(W31="","",IFERROR(W31*INDEX(Assumptions!$E$6:$E$22,MATCH('Input-EWEMs'!Z$10,Assumptions!$B$6:$B$22,0)),""))</f>
        <v/>
      </c>
      <c r="AA31" s="636" t="str">
        <f>IF(X31="","",IFERROR(X31*INDEX(Assumptions!$E$6:$E$22,MATCH('Input-EWEMs'!AA$10,Assumptions!$B$6:$B$22,0)),""))</f>
        <v/>
      </c>
      <c r="AB31" s="637">
        <f t="shared" ref="AB31:AB41" si="8">SUM(V31:X31)</f>
        <v>0</v>
      </c>
      <c r="AC31" s="635">
        <f t="shared" ref="AC31:AC41" si="9">SUM(Y31:AA31)</f>
        <v>0</v>
      </c>
      <c r="AD31" s="635" t="str">
        <f>IF(U31="","",IFERROR(U31*INDEX(Assumptions!$D$24:$D$27,MATCH('Input-EWEMs'!U$11,Assumptions!$C$24:$C$27,0))/1000,""))</f>
        <v/>
      </c>
      <c r="AE31" s="636">
        <f>IFERROR(R31*INDEX(Assumptions!$H$6:$H$22,MATCH('Input-EWEMs'!R$11,Assumptions!$C$6:$C$22,0)),0)+IFERROR(S31*INDEX(Assumptions!$H$6:$H$22,MATCH('Input-EWEMs'!S$11,Assumptions!$C$6:$C$22,0)),0)+IFERROR(T31*INDEX(Assumptions!$H$6:$H$22,MATCH('Input-EWEMs'!T$11,Assumptions!$C$6:$C$22,0)),0)</f>
        <v>0</v>
      </c>
      <c r="AF31" s="640" t="str">
        <f>IFERROR(IF(D31="","",SUM(Y31:AA31)/'Input-Utilities'!$L$14),"")</f>
        <v/>
      </c>
      <c r="AG31" s="641" t="str">
        <f>IFERROR(IF(D31="","",U31/'Input-Utilities'!$J$13),"")</f>
        <v/>
      </c>
      <c r="AH31" s="642" t="str">
        <f>IFERROR(IF($D31="","",IF(INDEX('Reference-MeasureList EULs'!D:D, MATCH('Input-EWEMs'!E31,'Reference-MeasureList EULs'!C:C,0))=0,"",INDEX('Reference-MeasureList EULs'!D:D, MATCH('Input-EWEMs'!E31,'Reference-MeasureList EULs'!C:C,0)))),"")</f>
        <v/>
      </c>
    </row>
    <row r="32" spans="3:34">
      <c r="C32" s="643">
        <v>21</v>
      </c>
      <c r="D32" s="644"/>
      <c r="E32" s="645"/>
      <c r="F32" s="646"/>
      <c r="G32" s="647"/>
      <c r="H32" s="648"/>
      <c r="I32" s="649"/>
      <c r="J32" s="628" t="str">
        <f>IFERROR(IF(I32=0,"",I32/'Input-Property'!$D$42),"")</f>
        <v/>
      </c>
      <c r="K32" s="650"/>
      <c r="L32" s="651"/>
      <c r="M32" s="651"/>
      <c r="N32" s="631" t="str">
        <f t="shared" si="6"/>
        <v/>
      </c>
      <c r="O32" s="652"/>
      <c r="P32" s="651"/>
      <c r="Q32" s="631" t="str">
        <f t="shared" si="7"/>
        <v/>
      </c>
      <c r="R32" s="653"/>
      <c r="S32" s="497"/>
      <c r="T32" s="497"/>
      <c r="U32" s="654"/>
      <c r="V32" s="634" t="str">
        <f>IF(R32="","",IFERROR(R32*INDEX(Assumptions!$D$6:$D$22,MATCH('Input-EWEMs'!R$11,Assumptions!$C$6:$C$22,0))/1000,""))</f>
        <v/>
      </c>
      <c r="W32" s="635" t="str">
        <f>IF(S32="","",IFERROR(S32*INDEX(Assumptions!$D$6:$D$22,MATCH('Input-EWEMs'!S$11,Assumptions!$C$6:$C$22,0))/1000,""))</f>
        <v/>
      </c>
      <c r="X32" s="636" t="str">
        <f>IF(T32="","",IFERROR(T32*INDEX(Assumptions!$D$6:$D$22,MATCH('Input-EWEMs'!T$11,Assumptions!$C$6:$C$22,0))/1000,""))</f>
        <v/>
      </c>
      <c r="Y32" s="634" t="str">
        <f>IF(V32="","",IFERROR(V32*INDEX(Assumptions!$E$6:$E$22,MATCH('Input-EWEMs'!Y$10,Assumptions!$B$6:$B$22,0)),""))</f>
        <v/>
      </c>
      <c r="Z32" s="635" t="str">
        <f>IF(W32="","",IFERROR(W32*INDEX(Assumptions!$E$6:$E$22,MATCH('Input-EWEMs'!Z$10,Assumptions!$B$6:$B$22,0)),""))</f>
        <v/>
      </c>
      <c r="AA32" s="636" t="str">
        <f>IF(X32="","",IFERROR(X32*INDEX(Assumptions!$E$6:$E$22,MATCH('Input-EWEMs'!AA$10,Assumptions!$B$6:$B$22,0)),""))</f>
        <v/>
      </c>
      <c r="AB32" s="637">
        <f t="shared" si="8"/>
        <v>0</v>
      </c>
      <c r="AC32" s="635">
        <f t="shared" si="9"/>
        <v>0</v>
      </c>
      <c r="AD32" s="635" t="str">
        <f>IF(U32="","",IFERROR(U32*INDEX(Assumptions!$D$24:$D$27,MATCH('Input-EWEMs'!U$11,Assumptions!$C$24:$C$27,0))/1000,""))</f>
        <v/>
      </c>
      <c r="AE32" s="636">
        <f>IFERROR(R32*INDEX(Assumptions!$H$6:$H$22,MATCH('Input-EWEMs'!R$11,Assumptions!$C$6:$C$22,0)),0)+IFERROR(S32*INDEX(Assumptions!$H$6:$H$22,MATCH('Input-EWEMs'!S$11,Assumptions!$C$6:$C$22,0)),0)+IFERROR(T32*INDEX(Assumptions!$H$6:$H$22,MATCH('Input-EWEMs'!T$11,Assumptions!$C$6:$C$22,0)),0)</f>
        <v>0</v>
      </c>
      <c r="AF32" s="640" t="str">
        <f>IFERROR(IF(D32="","",SUM(Y32:AA32)/'Input-Utilities'!$L$14),"")</f>
        <v/>
      </c>
      <c r="AG32" s="641" t="str">
        <f>IFERROR(IF(D32="","",U32/'Input-Utilities'!$J$13),"")</f>
        <v/>
      </c>
      <c r="AH32" s="642" t="str">
        <f>IFERROR(IF($D32="","",IF(INDEX('Reference-MeasureList EULs'!D:D, MATCH('Input-EWEMs'!E32,'Reference-MeasureList EULs'!C:C,0))=0,"",INDEX('Reference-MeasureList EULs'!D:D, MATCH('Input-EWEMs'!E32,'Reference-MeasureList EULs'!C:C,0)))),"")</f>
        <v/>
      </c>
    </row>
    <row r="33" spans="3:34">
      <c r="C33" s="643">
        <v>22</v>
      </c>
      <c r="D33" s="644"/>
      <c r="E33" s="645"/>
      <c r="F33" s="646"/>
      <c r="G33" s="647"/>
      <c r="H33" s="648"/>
      <c r="I33" s="649"/>
      <c r="J33" s="628" t="str">
        <f>IFERROR(IF(I33=0,"",I33/'Input-Property'!$D$42),"")</f>
        <v/>
      </c>
      <c r="K33" s="650"/>
      <c r="L33" s="651"/>
      <c r="M33" s="651"/>
      <c r="N33" s="631" t="str">
        <f t="shared" si="6"/>
        <v/>
      </c>
      <c r="O33" s="652"/>
      <c r="P33" s="651"/>
      <c r="Q33" s="631" t="str">
        <f t="shared" si="7"/>
        <v/>
      </c>
      <c r="R33" s="653"/>
      <c r="S33" s="497"/>
      <c r="T33" s="497"/>
      <c r="U33" s="654"/>
      <c r="V33" s="634" t="str">
        <f>IF(R33="","",IFERROR(R33*INDEX(Assumptions!$D$6:$D$22,MATCH('Input-EWEMs'!R$11,Assumptions!$C$6:$C$22,0))/1000,""))</f>
        <v/>
      </c>
      <c r="W33" s="635" t="str">
        <f>IF(S33="","",IFERROR(S33*INDEX(Assumptions!$D$6:$D$22,MATCH('Input-EWEMs'!S$11,Assumptions!$C$6:$C$22,0))/1000,""))</f>
        <v/>
      </c>
      <c r="X33" s="636" t="str">
        <f>IF(T33="","",IFERROR(T33*INDEX(Assumptions!$D$6:$D$22,MATCH('Input-EWEMs'!T$11,Assumptions!$C$6:$C$22,0))/1000,""))</f>
        <v/>
      </c>
      <c r="Y33" s="634" t="str">
        <f>IF(V33="","",IFERROR(V33*INDEX(Assumptions!$E$6:$E$22,MATCH('Input-EWEMs'!Y$10,Assumptions!$B$6:$B$22,0)),""))</f>
        <v/>
      </c>
      <c r="Z33" s="635" t="str">
        <f>IF(W33="","",IFERROR(W33*INDEX(Assumptions!$E$6:$E$22,MATCH('Input-EWEMs'!Z$10,Assumptions!$B$6:$B$22,0)),""))</f>
        <v/>
      </c>
      <c r="AA33" s="636" t="str">
        <f>IF(X33="","",IFERROR(X33*INDEX(Assumptions!$E$6:$E$22,MATCH('Input-EWEMs'!AA$10,Assumptions!$B$6:$B$22,0)),""))</f>
        <v/>
      </c>
      <c r="AB33" s="637">
        <f t="shared" si="8"/>
        <v>0</v>
      </c>
      <c r="AC33" s="635">
        <f t="shared" si="9"/>
        <v>0</v>
      </c>
      <c r="AD33" s="635" t="str">
        <f>IF(U33="","",IFERROR(U33*INDEX(Assumptions!$D$24:$D$27,MATCH('Input-EWEMs'!U$11,Assumptions!$C$24:$C$27,0))/1000,""))</f>
        <v/>
      </c>
      <c r="AE33" s="636">
        <f>IFERROR(R33*INDEX(Assumptions!$H$6:$H$22,MATCH('Input-EWEMs'!R$11,Assumptions!$C$6:$C$22,0)),0)+IFERROR(S33*INDEX(Assumptions!$H$6:$H$22,MATCH('Input-EWEMs'!S$11,Assumptions!$C$6:$C$22,0)),0)+IFERROR(T33*INDEX(Assumptions!$H$6:$H$22,MATCH('Input-EWEMs'!T$11,Assumptions!$C$6:$C$22,0)),0)</f>
        <v>0</v>
      </c>
      <c r="AF33" s="640" t="str">
        <f>IFERROR(IF(D33="","",SUM(Y33:AA33)/'Input-Utilities'!$L$14),"")</f>
        <v/>
      </c>
      <c r="AG33" s="641" t="str">
        <f>IFERROR(IF(D33="","",U33/'Input-Utilities'!$J$13),"")</f>
        <v/>
      </c>
      <c r="AH33" s="642" t="str">
        <f>IFERROR(IF($D33="","",IF(INDEX('Reference-MeasureList EULs'!D:D, MATCH('Input-EWEMs'!E33,'Reference-MeasureList EULs'!C:C,0))=0,"",INDEX('Reference-MeasureList EULs'!D:D, MATCH('Input-EWEMs'!E33,'Reference-MeasureList EULs'!C:C,0)))),"")</f>
        <v/>
      </c>
    </row>
    <row r="34" spans="3:34">
      <c r="C34" s="643">
        <v>23</v>
      </c>
      <c r="D34" s="644"/>
      <c r="E34" s="645"/>
      <c r="F34" s="646"/>
      <c r="G34" s="647"/>
      <c r="H34" s="648"/>
      <c r="I34" s="649"/>
      <c r="J34" s="628" t="str">
        <f>IFERROR(IF(I34=0,"",I34/'Input-Property'!$D$42),"")</f>
        <v/>
      </c>
      <c r="K34" s="650"/>
      <c r="L34" s="651"/>
      <c r="M34" s="651"/>
      <c r="N34" s="631" t="str">
        <f t="shared" si="6"/>
        <v/>
      </c>
      <c r="O34" s="652"/>
      <c r="P34" s="651"/>
      <c r="Q34" s="631" t="str">
        <f t="shared" si="7"/>
        <v/>
      </c>
      <c r="R34" s="653"/>
      <c r="S34" s="497"/>
      <c r="T34" s="497"/>
      <c r="U34" s="654"/>
      <c r="V34" s="634" t="str">
        <f>IF(R34="","",IFERROR(R34*INDEX(Assumptions!$D$6:$D$22,MATCH('Input-EWEMs'!R$11,Assumptions!$C$6:$C$22,0))/1000,""))</f>
        <v/>
      </c>
      <c r="W34" s="635" t="str">
        <f>IF(S34="","",IFERROR(S34*INDEX(Assumptions!$D$6:$D$22,MATCH('Input-EWEMs'!S$11,Assumptions!$C$6:$C$22,0))/1000,""))</f>
        <v/>
      </c>
      <c r="X34" s="636" t="str">
        <f>IF(T34="","",IFERROR(T34*INDEX(Assumptions!$D$6:$D$22,MATCH('Input-EWEMs'!T$11,Assumptions!$C$6:$C$22,0))/1000,""))</f>
        <v/>
      </c>
      <c r="Y34" s="634" t="str">
        <f>IF(V34="","",IFERROR(V34*INDEX(Assumptions!$E$6:$E$22,MATCH('Input-EWEMs'!Y$10,Assumptions!$B$6:$B$22,0)),""))</f>
        <v/>
      </c>
      <c r="Z34" s="635" t="str">
        <f>IF(W34="","",IFERROR(W34*INDEX(Assumptions!$E$6:$E$22,MATCH('Input-EWEMs'!Z$10,Assumptions!$B$6:$B$22,0)),""))</f>
        <v/>
      </c>
      <c r="AA34" s="636" t="str">
        <f>IF(X34="","",IFERROR(X34*INDEX(Assumptions!$E$6:$E$22,MATCH('Input-EWEMs'!AA$10,Assumptions!$B$6:$B$22,0)),""))</f>
        <v/>
      </c>
      <c r="AB34" s="637">
        <f t="shared" si="8"/>
        <v>0</v>
      </c>
      <c r="AC34" s="635">
        <f t="shared" si="9"/>
        <v>0</v>
      </c>
      <c r="AD34" s="635" t="str">
        <f>IF(U34="","",IFERROR(U34*INDEX(Assumptions!$D$24:$D$27,MATCH('Input-EWEMs'!U$11,Assumptions!$C$24:$C$27,0))/1000,""))</f>
        <v/>
      </c>
      <c r="AE34" s="636">
        <f>IFERROR(R34*INDEX(Assumptions!$H$6:$H$22,MATCH('Input-EWEMs'!R$11,Assumptions!$C$6:$C$22,0)),0)+IFERROR(S34*INDEX(Assumptions!$H$6:$H$22,MATCH('Input-EWEMs'!S$11,Assumptions!$C$6:$C$22,0)),0)+IFERROR(T34*INDEX(Assumptions!$H$6:$H$22,MATCH('Input-EWEMs'!T$11,Assumptions!$C$6:$C$22,0)),0)</f>
        <v>0</v>
      </c>
      <c r="AF34" s="640" t="str">
        <f>IFERROR(IF(D34="","",SUM(Y34:AA34)/'Input-Utilities'!$L$14),"")</f>
        <v/>
      </c>
      <c r="AG34" s="641" t="str">
        <f>IFERROR(IF(D34="","",U34/'Input-Utilities'!$J$13),"")</f>
        <v/>
      </c>
      <c r="AH34" s="642" t="str">
        <f>IFERROR(IF($D34="","",IF(INDEX('Reference-MeasureList EULs'!D:D, MATCH('Input-EWEMs'!E34,'Reference-MeasureList EULs'!C:C,0))=0,"",INDEX('Reference-MeasureList EULs'!D:D, MATCH('Input-EWEMs'!E34,'Reference-MeasureList EULs'!C:C,0)))),"")</f>
        <v/>
      </c>
    </row>
    <row r="35" spans="3:34">
      <c r="C35" s="643">
        <v>24</v>
      </c>
      <c r="D35" s="644"/>
      <c r="E35" s="645"/>
      <c r="F35" s="646"/>
      <c r="G35" s="647"/>
      <c r="H35" s="648"/>
      <c r="I35" s="649"/>
      <c r="J35" s="628" t="str">
        <f>IFERROR(IF(I35=0,"",I35/'Input-Property'!$D$42),"")</f>
        <v/>
      </c>
      <c r="K35" s="650"/>
      <c r="L35" s="651"/>
      <c r="M35" s="651"/>
      <c r="N35" s="631" t="str">
        <f t="shared" si="6"/>
        <v/>
      </c>
      <c r="O35" s="652"/>
      <c r="P35" s="651"/>
      <c r="Q35" s="631" t="str">
        <f t="shared" si="7"/>
        <v/>
      </c>
      <c r="R35" s="653"/>
      <c r="S35" s="497"/>
      <c r="T35" s="497"/>
      <c r="U35" s="654"/>
      <c r="V35" s="634" t="str">
        <f>IF(R35="","",IFERROR(R35*INDEX(Assumptions!$D$6:$D$22,MATCH('Input-EWEMs'!R$11,Assumptions!$C$6:$C$22,0))/1000,""))</f>
        <v/>
      </c>
      <c r="W35" s="635" t="str">
        <f>IF(S35="","",IFERROR(S35*INDEX(Assumptions!$D$6:$D$22,MATCH('Input-EWEMs'!S$11,Assumptions!$C$6:$C$22,0))/1000,""))</f>
        <v/>
      </c>
      <c r="X35" s="636" t="str">
        <f>IF(T35="","",IFERROR(T35*INDEX(Assumptions!$D$6:$D$22,MATCH('Input-EWEMs'!T$11,Assumptions!$C$6:$C$22,0))/1000,""))</f>
        <v/>
      </c>
      <c r="Y35" s="634" t="str">
        <f>IF(V35="","",IFERROR(V35*INDEX(Assumptions!$E$6:$E$22,MATCH('Input-EWEMs'!Y$10,Assumptions!$B$6:$B$22,0)),""))</f>
        <v/>
      </c>
      <c r="Z35" s="635" t="str">
        <f>IF(W35="","",IFERROR(W35*INDEX(Assumptions!$E$6:$E$22,MATCH('Input-EWEMs'!Z$10,Assumptions!$B$6:$B$22,0)),""))</f>
        <v/>
      </c>
      <c r="AA35" s="636" t="str">
        <f>IF(X35="","",IFERROR(X35*INDEX(Assumptions!$E$6:$E$22,MATCH('Input-EWEMs'!AA$10,Assumptions!$B$6:$B$22,0)),""))</f>
        <v/>
      </c>
      <c r="AB35" s="637">
        <f t="shared" si="8"/>
        <v>0</v>
      </c>
      <c r="AC35" s="635">
        <f t="shared" si="9"/>
        <v>0</v>
      </c>
      <c r="AD35" s="635" t="str">
        <f>IF(U35="","",IFERROR(U35*INDEX(Assumptions!$D$24:$D$27,MATCH('Input-EWEMs'!U$11,Assumptions!$C$24:$C$27,0))/1000,""))</f>
        <v/>
      </c>
      <c r="AE35" s="636">
        <f>IFERROR(R35*INDEX(Assumptions!$H$6:$H$22,MATCH('Input-EWEMs'!R$11,Assumptions!$C$6:$C$22,0)),0)+IFERROR(S35*INDEX(Assumptions!$H$6:$H$22,MATCH('Input-EWEMs'!S$11,Assumptions!$C$6:$C$22,0)),0)+IFERROR(T35*INDEX(Assumptions!$H$6:$H$22,MATCH('Input-EWEMs'!T$11,Assumptions!$C$6:$C$22,0)),0)</f>
        <v>0</v>
      </c>
      <c r="AF35" s="640" t="str">
        <f>IFERROR(IF(D35="","",SUM(Y35:AA35)/'Input-Utilities'!$L$14),"")</f>
        <v/>
      </c>
      <c r="AG35" s="641" t="str">
        <f>IFERROR(IF(D35="","",U35/'Input-Utilities'!$J$13),"")</f>
        <v/>
      </c>
      <c r="AH35" s="642" t="str">
        <f>IFERROR(IF($D35="","",IF(INDEX('Reference-MeasureList EULs'!D:D, MATCH('Input-EWEMs'!E35,'Reference-MeasureList EULs'!C:C,0))=0,"",INDEX('Reference-MeasureList EULs'!D:D, MATCH('Input-EWEMs'!E35,'Reference-MeasureList EULs'!C:C,0)))),"")</f>
        <v/>
      </c>
    </row>
    <row r="36" spans="3:34">
      <c r="C36" s="643">
        <v>25</v>
      </c>
      <c r="D36" s="644"/>
      <c r="E36" s="645"/>
      <c r="F36" s="646"/>
      <c r="G36" s="647"/>
      <c r="H36" s="648"/>
      <c r="I36" s="649"/>
      <c r="J36" s="628" t="str">
        <f>IFERROR(IF(I36=0,"",I36/'Input-Property'!$D$42),"")</f>
        <v/>
      </c>
      <c r="K36" s="650"/>
      <c r="L36" s="651"/>
      <c r="M36" s="651"/>
      <c r="N36" s="631" t="str">
        <f t="shared" si="6"/>
        <v/>
      </c>
      <c r="O36" s="652"/>
      <c r="P36" s="651"/>
      <c r="Q36" s="631" t="str">
        <f t="shared" si="7"/>
        <v/>
      </c>
      <c r="R36" s="653"/>
      <c r="S36" s="497"/>
      <c r="T36" s="497"/>
      <c r="U36" s="654"/>
      <c r="V36" s="634" t="str">
        <f>IF(R36="","",IFERROR(R36*INDEX(Assumptions!$D$6:$D$22,MATCH('Input-EWEMs'!R$11,Assumptions!$C$6:$C$22,0))/1000,""))</f>
        <v/>
      </c>
      <c r="W36" s="635" t="str">
        <f>IF(S36="","",IFERROR(S36*INDEX(Assumptions!$D$6:$D$22,MATCH('Input-EWEMs'!S$11,Assumptions!$C$6:$C$22,0))/1000,""))</f>
        <v/>
      </c>
      <c r="X36" s="636" t="str">
        <f>IF(T36="","",IFERROR(T36*INDEX(Assumptions!$D$6:$D$22,MATCH('Input-EWEMs'!T$11,Assumptions!$C$6:$C$22,0))/1000,""))</f>
        <v/>
      </c>
      <c r="Y36" s="634" t="str">
        <f>IF(V36="","",IFERROR(V36*INDEX(Assumptions!$E$6:$E$22,MATCH('Input-EWEMs'!Y$10,Assumptions!$B$6:$B$22,0)),""))</f>
        <v/>
      </c>
      <c r="Z36" s="635" t="str">
        <f>IF(W36="","",IFERROR(W36*INDEX(Assumptions!$E$6:$E$22,MATCH('Input-EWEMs'!Z$10,Assumptions!$B$6:$B$22,0)),""))</f>
        <v/>
      </c>
      <c r="AA36" s="636" t="str">
        <f>IF(X36="","",IFERROR(X36*INDEX(Assumptions!$E$6:$E$22,MATCH('Input-EWEMs'!AA$10,Assumptions!$B$6:$B$22,0)),""))</f>
        <v/>
      </c>
      <c r="AB36" s="637">
        <f t="shared" si="8"/>
        <v>0</v>
      </c>
      <c r="AC36" s="635">
        <f t="shared" si="9"/>
        <v>0</v>
      </c>
      <c r="AD36" s="635" t="str">
        <f>IF(U36="","",IFERROR(U36*INDEX(Assumptions!$D$24:$D$27,MATCH('Input-EWEMs'!U$11,Assumptions!$C$24:$C$27,0))/1000,""))</f>
        <v/>
      </c>
      <c r="AE36" s="636">
        <f>IFERROR(R36*INDEX(Assumptions!$H$6:$H$22,MATCH('Input-EWEMs'!R$11,Assumptions!$C$6:$C$22,0)),0)+IFERROR(S36*INDEX(Assumptions!$H$6:$H$22,MATCH('Input-EWEMs'!S$11,Assumptions!$C$6:$C$22,0)),0)+IFERROR(T36*INDEX(Assumptions!$H$6:$H$22,MATCH('Input-EWEMs'!T$11,Assumptions!$C$6:$C$22,0)),0)</f>
        <v>0</v>
      </c>
      <c r="AF36" s="640" t="str">
        <f>IFERROR(IF(D36="","",SUM(Y36:AA36)/'Input-Utilities'!$L$14),"")</f>
        <v/>
      </c>
      <c r="AG36" s="641" t="str">
        <f>IFERROR(IF(D36="","",U36/'Input-Utilities'!$J$13),"")</f>
        <v/>
      </c>
      <c r="AH36" s="642" t="str">
        <f>IFERROR(IF($D36="","",IF(INDEX('Reference-MeasureList EULs'!D:D, MATCH('Input-EWEMs'!E36,'Reference-MeasureList EULs'!C:C,0))=0,"",INDEX('Reference-MeasureList EULs'!D:D, MATCH('Input-EWEMs'!E36,'Reference-MeasureList EULs'!C:C,0)))),"")</f>
        <v/>
      </c>
    </row>
    <row r="37" spans="3:34">
      <c r="C37" s="643">
        <v>26</v>
      </c>
      <c r="D37" s="644"/>
      <c r="E37" s="645"/>
      <c r="F37" s="646"/>
      <c r="G37" s="647"/>
      <c r="H37" s="648"/>
      <c r="I37" s="649"/>
      <c r="J37" s="628" t="str">
        <f>IFERROR(IF(I37=0,"",I37/'Input-Property'!$D$42),"")</f>
        <v/>
      </c>
      <c r="K37" s="650"/>
      <c r="L37" s="651"/>
      <c r="M37" s="651"/>
      <c r="N37" s="631" t="str">
        <f t="shared" si="6"/>
        <v/>
      </c>
      <c r="O37" s="652"/>
      <c r="P37" s="651"/>
      <c r="Q37" s="631" t="str">
        <f t="shared" si="7"/>
        <v/>
      </c>
      <c r="R37" s="653"/>
      <c r="S37" s="497"/>
      <c r="T37" s="497"/>
      <c r="U37" s="654"/>
      <c r="V37" s="634" t="str">
        <f>IF(R37="","",IFERROR(R37*INDEX(Assumptions!$D$6:$D$22,MATCH('Input-EWEMs'!R$11,Assumptions!$C$6:$C$22,0))/1000,""))</f>
        <v/>
      </c>
      <c r="W37" s="635" t="str">
        <f>IF(S37="","",IFERROR(S37*INDEX(Assumptions!$D$6:$D$22,MATCH('Input-EWEMs'!S$11,Assumptions!$C$6:$C$22,0))/1000,""))</f>
        <v/>
      </c>
      <c r="X37" s="636" t="str">
        <f>IF(T37="","",IFERROR(T37*INDEX(Assumptions!$D$6:$D$22,MATCH('Input-EWEMs'!T$11,Assumptions!$C$6:$C$22,0))/1000,""))</f>
        <v/>
      </c>
      <c r="Y37" s="634" t="str">
        <f>IF(V37="","",IFERROR(V37*INDEX(Assumptions!$E$6:$E$22,MATCH('Input-EWEMs'!Y$10,Assumptions!$B$6:$B$22,0)),""))</f>
        <v/>
      </c>
      <c r="Z37" s="635" t="str">
        <f>IF(W37="","",IFERROR(W37*INDEX(Assumptions!$E$6:$E$22,MATCH('Input-EWEMs'!Z$10,Assumptions!$B$6:$B$22,0)),""))</f>
        <v/>
      </c>
      <c r="AA37" s="636" t="str">
        <f>IF(X37="","",IFERROR(X37*INDEX(Assumptions!$E$6:$E$22,MATCH('Input-EWEMs'!AA$10,Assumptions!$B$6:$B$22,0)),""))</f>
        <v/>
      </c>
      <c r="AB37" s="637">
        <f t="shared" si="8"/>
        <v>0</v>
      </c>
      <c r="AC37" s="635">
        <f t="shared" si="9"/>
        <v>0</v>
      </c>
      <c r="AD37" s="635" t="str">
        <f>IF(U37="","",IFERROR(U37*INDEX(Assumptions!$D$24:$D$27,MATCH('Input-EWEMs'!U$11,Assumptions!$C$24:$C$27,0))/1000,""))</f>
        <v/>
      </c>
      <c r="AE37" s="636">
        <f>IFERROR(R37*INDEX(Assumptions!$H$6:$H$22,MATCH('Input-EWEMs'!R$11,Assumptions!$C$6:$C$22,0)),0)+IFERROR(S37*INDEX(Assumptions!$H$6:$H$22,MATCH('Input-EWEMs'!S$11,Assumptions!$C$6:$C$22,0)),0)+IFERROR(T37*INDEX(Assumptions!$H$6:$H$22,MATCH('Input-EWEMs'!T$11,Assumptions!$C$6:$C$22,0)),0)</f>
        <v>0</v>
      </c>
      <c r="AF37" s="640" t="str">
        <f>IFERROR(IF(D37="","",SUM(Y37:AA37)/'Input-Utilities'!$L$14),"")</f>
        <v/>
      </c>
      <c r="AG37" s="641" t="str">
        <f>IFERROR(IF(D37="","",U37/'Input-Utilities'!$J$13),"")</f>
        <v/>
      </c>
      <c r="AH37" s="642" t="str">
        <f>IFERROR(IF($D37="","",IF(INDEX('Reference-MeasureList EULs'!D:D, MATCH('Input-EWEMs'!E37,'Reference-MeasureList EULs'!C:C,0))=0,"",INDEX('Reference-MeasureList EULs'!D:D, MATCH('Input-EWEMs'!E37,'Reference-MeasureList EULs'!C:C,0)))),"")</f>
        <v/>
      </c>
    </row>
    <row r="38" spans="3:34">
      <c r="C38" s="643">
        <v>27</v>
      </c>
      <c r="D38" s="644"/>
      <c r="E38" s="645"/>
      <c r="F38" s="646"/>
      <c r="G38" s="647"/>
      <c r="H38" s="648"/>
      <c r="I38" s="649"/>
      <c r="J38" s="628" t="str">
        <f>IFERROR(IF(I38=0,"",I38/'Input-Property'!$D$42),"")</f>
        <v/>
      </c>
      <c r="K38" s="650"/>
      <c r="L38" s="651"/>
      <c r="M38" s="651"/>
      <c r="N38" s="631" t="str">
        <f t="shared" si="6"/>
        <v/>
      </c>
      <c r="O38" s="652"/>
      <c r="P38" s="651"/>
      <c r="Q38" s="631" t="str">
        <f t="shared" si="7"/>
        <v/>
      </c>
      <c r="R38" s="653"/>
      <c r="S38" s="497"/>
      <c r="T38" s="497"/>
      <c r="U38" s="654"/>
      <c r="V38" s="634" t="str">
        <f>IF(R38="","",IFERROR(R38*INDEX(Assumptions!$D$6:$D$22,MATCH('Input-EWEMs'!R$11,Assumptions!$C$6:$C$22,0))/1000,""))</f>
        <v/>
      </c>
      <c r="W38" s="635" t="str">
        <f>IF(S38="","",IFERROR(S38*INDEX(Assumptions!$D$6:$D$22,MATCH('Input-EWEMs'!S$11,Assumptions!$C$6:$C$22,0))/1000,""))</f>
        <v/>
      </c>
      <c r="X38" s="636" t="str">
        <f>IF(T38="","",IFERROR(T38*INDEX(Assumptions!$D$6:$D$22,MATCH('Input-EWEMs'!T$11,Assumptions!$C$6:$C$22,0))/1000,""))</f>
        <v/>
      </c>
      <c r="Y38" s="634" t="str">
        <f>IF(V38="","",IFERROR(V38*INDEX(Assumptions!$E$6:$E$22,MATCH('Input-EWEMs'!Y$10,Assumptions!$B$6:$B$22,0)),""))</f>
        <v/>
      </c>
      <c r="Z38" s="635" t="str">
        <f>IF(W38="","",IFERROR(W38*INDEX(Assumptions!$E$6:$E$22,MATCH('Input-EWEMs'!Z$10,Assumptions!$B$6:$B$22,0)),""))</f>
        <v/>
      </c>
      <c r="AA38" s="636" t="str">
        <f>IF(X38="","",IFERROR(X38*INDEX(Assumptions!$E$6:$E$22,MATCH('Input-EWEMs'!AA$10,Assumptions!$B$6:$B$22,0)),""))</f>
        <v/>
      </c>
      <c r="AB38" s="637">
        <f t="shared" si="8"/>
        <v>0</v>
      </c>
      <c r="AC38" s="635">
        <f t="shared" si="9"/>
        <v>0</v>
      </c>
      <c r="AD38" s="635" t="str">
        <f>IF(U38="","",IFERROR(U38*INDEX(Assumptions!$D$24:$D$27,MATCH('Input-EWEMs'!U$11,Assumptions!$C$24:$C$27,0))/1000,""))</f>
        <v/>
      </c>
      <c r="AE38" s="636">
        <f>IFERROR(R38*INDEX(Assumptions!$H$6:$H$22,MATCH('Input-EWEMs'!R$11,Assumptions!$C$6:$C$22,0)),0)+IFERROR(S38*INDEX(Assumptions!$H$6:$H$22,MATCH('Input-EWEMs'!S$11,Assumptions!$C$6:$C$22,0)),0)+IFERROR(T38*INDEX(Assumptions!$H$6:$H$22,MATCH('Input-EWEMs'!T$11,Assumptions!$C$6:$C$22,0)),0)</f>
        <v>0</v>
      </c>
      <c r="AF38" s="640" t="str">
        <f>IFERROR(IF(D38="","",SUM(Y38:AA38)/'Input-Utilities'!$L$14),"")</f>
        <v/>
      </c>
      <c r="AG38" s="641" t="str">
        <f>IFERROR(IF(D38="","",U38/'Input-Utilities'!$J$13),"")</f>
        <v/>
      </c>
      <c r="AH38" s="642" t="str">
        <f>IFERROR(IF($D38="","",IF(INDEX('Reference-MeasureList EULs'!D:D, MATCH('Input-EWEMs'!E38,'Reference-MeasureList EULs'!C:C,0))=0,"",INDEX('Reference-MeasureList EULs'!D:D, MATCH('Input-EWEMs'!E38,'Reference-MeasureList EULs'!C:C,0)))),"")</f>
        <v/>
      </c>
    </row>
    <row r="39" spans="3:34">
      <c r="C39" s="643">
        <v>28</v>
      </c>
      <c r="D39" s="644"/>
      <c r="E39" s="645"/>
      <c r="F39" s="646"/>
      <c r="G39" s="647"/>
      <c r="H39" s="648"/>
      <c r="I39" s="649"/>
      <c r="J39" s="628" t="str">
        <f>IFERROR(IF(I39=0,"",I39/'Input-Property'!$D$42),"")</f>
        <v/>
      </c>
      <c r="K39" s="650"/>
      <c r="L39" s="651"/>
      <c r="M39" s="651"/>
      <c r="N39" s="631" t="str">
        <f t="shared" si="6"/>
        <v/>
      </c>
      <c r="O39" s="652"/>
      <c r="P39" s="651"/>
      <c r="Q39" s="631" t="str">
        <f t="shared" si="7"/>
        <v/>
      </c>
      <c r="R39" s="653"/>
      <c r="S39" s="497"/>
      <c r="T39" s="497"/>
      <c r="U39" s="654"/>
      <c r="V39" s="634" t="str">
        <f>IF(R39="","",IFERROR(R39*INDEX(Assumptions!$D$6:$D$22,MATCH('Input-EWEMs'!R$11,Assumptions!$C$6:$C$22,0))/1000,""))</f>
        <v/>
      </c>
      <c r="W39" s="635" t="str">
        <f>IF(S39="","",IFERROR(S39*INDEX(Assumptions!$D$6:$D$22,MATCH('Input-EWEMs'!S$11,Assumptions!$C$6:$C$22,0))/1000,""))</f>
        <v/>
      </c>
      <c r="X39" s="636" t="str">
        <f>IF(T39="","",IFERROR(T39*INDEX(Assumptions!$D$6:$D$22,MATCH('Input-EWEMs'!T$11,Assumptions!$C$6:$C$22,0))/1000,""))</f>
        <v/>
      </c>
      <c r="Y39" s="634" t="str">
        <f>IF(V39="","",IFERROR(V39*INDEX(Assumptions!$E$6:$E$22,MATCH('Input-EWEMs'!Y$10,Assumptions!$B$6:$B$22,0)),""))</f>
        <v/>
      </c>
      <c r="Z39" s="635" t="str">
        <f>IF(W39="","",IFERROR(W39*INDEX(Assumptions!$E$6:$E$22,MATCH('Input-EWEMs'!Z$10,Assumptions!$B$6:$B$22,0)),""))</f>
        <v/>
      </c>
      <c r="AA39" s="636" t="str">
        <f>IF(X39="","",IFERROR(X39*INDEX(Assumptions!$E$6:$E$22,MATCH('Input-EWEMs'!AA$10,Assumptions!$B$6:$B$22,0)),""))</f>
        <v/>
      </c>
      <c r="AB39" s="637">
        <f t="shared" si="8"/>
        <v>0</v>
      </c>
      <c r="AC39" s="635">
        <f t="shared" si="9"/>
        <v>0</v>
      </c>
      <c r="AD39" s="635" t="str">
        <f>IF(U39="","",IFERROR(U39*INDEX(Assumptions!$D$24:$D$27,MATCH('Input-EWEMs'!U$11,Assumptions!$C$24:$C$27,0))/1000,""))</f>
        <v/>
      </c>
      <c r="AE39" s="636">
        <f>IFERROR(R39*INDEX(Assumptions!$H$6:$H$22,MATCH('Input-EWEMs'!R$11,Assumptions!$C$6:$C$22,0)),0)+IFERROR(S39*INDEX(Assumptions!$H$6:$H$22,MATCH('Input-EWEMs'!S$11,Assumptions!$C$6:$C$22,0)),0)+IFERROR(T39*INDEX(Assumptions!$H$6:$H$22,MATCH('Input-EWEMs'!T$11,Assumptions!$C$6:$C$22,0)),0)</f>
        <v>0</v>
      </c>
      <c r="AF39" s="640" t="str">
        <f>IFERROR(IF(D39="","",SUM(Y39:AA39)/'Input-Utilities'!$L$14),"")</f>
        <v/>
      </c>
      <c r="AG39" s="641" t="str">
        <f>IFERROR(IF(D39="","",U39/'Input-Utilities'!$J$13),"")</f>
        <v/>
      </c>
      <c r="AH39" s="642" t="str">
        <f>IFERROR(IF($D39="","",IF(INDEX('Reference-MeasureList EULs'!D:D, MATCH('Input-EWEMs'!E39,'Reference-MeasureList EULs'!C:C,0))=0,"",INDEX('Reference-MeasureList EULs'!D:D, MATCH('Input-EWEMs'!E39,'Reference-MeasureList EULs'!C:C,0)))),"")</f>
        <v/>
      </c>
    </row>
    <row r="40" spans="3:34">
      <c r="C40" s="643">
        <v>29</v>
      </c>
      <c r="D40" s="644"/>
      <c r="E40" s="645"/>
      <c r="F40" s="646"/>
      <c r="G40" s="647"/>
      <c r="H40" s="648"/>
      <c r="I40" s="649"/>
      <c r="J40" s="628" t="str">
        <f>IFERROR(IF(I40=0,"",I40/'Input-Property'!$D$42),"")</f>
        <v/>
      </c>
      <c r="K40" s="650"/>
      <c r="L40" s="651"/>
      <c r="M40" s="651"/>
      <c r="N40" s="631" t="str">
        <f t="shared" si="6"/>
        <v/>
      </c>
      <c r="O40" s="652"/>
      <c r="P40" s="651"/>
      <c r="Q40" s="631" t="str">
        <f t="shared" si="7"/>
        <v/>
      </c>
      <c r="R40" s="653"/>
      <c r="S40" s="497"/>
      <c r="T40" s="497"/>
      <c r="U40" s="654"/>
      <c r="V40" s="634" t="str">
        <f>IF(R40="","",IFERROR(R40*INDEX(Assumptions!$D$6:$D$22,MATCH('Input-EWEMs'!R$11,Assumptions!$C$6:$C$22,0))/1000,""))</f>
        <v/>
      </c>
      <c r="W40" s="635" t="str">
        <f>IF(S40="","",IFERROR(S40*INDEX(Assumptions!$D$6:$D$22,MATCH('Input-EWEMs'!S$11,Assumptions!$C$6:$C$22,0))/1000,""))</f>
        <v/>
      </c>
      <c r="X40" s="636" t="str">
        <f>IF(T40="","",IFERROR(T40*INDEX(Assumptions!$D$6:$D$22,MATCH('Input-EWEMs'!T$11,Assumptions!$C$6:$C$22,0))/1000,""))</f>
        <v/>
      </c>
      <c r="Y40" s="634" t="str">
        <f>IF(V40="","",IFERROR(V40*INDEX(Assumptions!$E$6:$E$22,MATCH('Input-EWEMs'!Y$10,Assumptions!$B$6:$B$22,0)),""))</f>
        <v/>
      </c>
      <c r="Z40" s="635" t="str">
        <f>IF(W40="","",IFERROR(W40*INDEX(Assumptions!$E$6:$E$22,MATCH('Input-EWEMs'!Z$10,Assumptions!$B$6:$B$22,0)),""))</f>
        <v/>
      </c>
      <c r="AA40" s="636" t="str">
        <f>IF(X40="","",IFERROR(X40*INDEX(Assumptions!$E$6:$E$22,MATCH('Input-EWEMs'!AA$10,Assumptions!$B$6:$B$22,0)),""))</f>
        <v/>
      </c>
      <c r="AB40" s="637">
        <f t="shared" si="8"/>
        <v>0</v>
      </c>
      <c r="AC40" s="635">
        <f t="shared" si="9"/>
        <v>0</v>
      </c>
      <c r="AD40" s="635" t="str">
        <f>IF(U40="","",IFERROR(U40*INDEX(Assumptions!$D$24:$D$27,MATCH('Input-EWEMs'!U$11,Assumptions!$C$24:$C$27,0))/1000,""))</f>
        <v/>
      </c>
      <c r="AE40" s="636">
        <f>IFERROR(R40*INDEX(Assumptions!$H$6:$H$22,MATCH('Input-EWEMs'!R$11,Assumptions!$C$6:$C$22,0)),0)+IFERROR(S40*INDEX(Assumptions!$H$6:$H$22,MATCH('Input-EWEMs'!S$11,Assumptions!$C$6:$C$22,0)),0)+IFERROR(T40*INDEX(Assumptions!$H$6:$H$22,MATCH('Input-EWEMs'!T$11,Assumptions!$C$6:$C$22,0)),0)</f>
        <v>0</v>
      </c>
      <c r="AF40" s="640" t="str">
        <f>IFERROR(IF(D40="","",SUM(Y40:AA40)/'Input-Utilities'!$L$14),"")</f>
        <v/>
      </c>
      <c r="AG40" s="641" t="str">
        <f>IFERROR(IF(D40="","",U40/'Input-Utilities'!$J$13),"")</f>
        <v/>
      </c>
      <c r="AH40" s="642" t="str">
        <f>IFERROR(IF($D40="","",IF(INDEX('Reference-MeasureList EULs'!D:D, MATCH('Input-EWEMs'!E40,'Reference-MeasureList EULs'!C:C,0))=0,"",INDEX('Reference-MeasureList EULs'!D:D, MATCH('Input-EWEMs'!E40,'Reference-MeasureList EULs'!C:C,0)))),"")</f>
        <v/>
      </c>
    </row>
    <row r="41" spans="3:34">
      <c r="C41" s="655">
        <v>30</v>
      </c>
      <c r="D41" s="656"/>
      <c r="E41" s="657"/>
      <c r="F41" s="658"/>
      <c r="G41" s="659"/>
      <c r="H41" s="660"/>
      <c r="I41" s="661"/>
      <c r="J41" s="662" t="str">
        <f>IFERROR(IF(I41=0,"",I41/'Input-Property'!$D$42),"")</f>
        <v/>
      </c>
      <c r="K41" s="663"/>
      <c r="L41" s="664"/>
      <c r="M41" s="664"/>
      <c r="N41" s="665" t="str">
        <f t="shared" si="6"/>
        <v/>
      </c>
      <c r="O41" s="666"/>
      <c r="P41" s="664"/>
      <c r="Q41" s="665" t="str">
        <f t="shared" si="7"/>
        <v/>
      </c>
      <c r="R41" s="667"/>
      <c r="S41" s="668"/>
      <c r="T41" s="668"/>
      <c r="U41" s="669"/>
      <c r="V41" s="670" t="str">
        <f>IF(R41="","",IFERROR(R41*INDEX(Assumptions!$D$6:$D$22,MATCH('Input-EWEMs'!R$11,Assumptions!$C$6:$C$22,0))/1000,""))</f>
        <v/>
      </c>
      <c r="W41" s="671" t="str">
        <f>IF(S41="","",IFERROR(S41*INDEX(Assumptions!$D$6:$D$22,MATCH('Input-EWEMs'!S$11,Assumptions!$C$6:$C$22,0))/1000,""))</f>
        <v/>
      </c>
      <c r="X41" s="672" t="str">
        <f>IF(T41="","",IFERROR(T41*INDEX(Assumptions!$D$6:$D$22,MATCH('Input-EWEMs'!T$11,Assumptions!$C$6:$C$22,0))/1000,""))</f>
        <v/>
      </c>
      <c r="Y41" s="670" t="str">
        <f>IF(V41="","",IFERROR(V41*INDEX(Assumptions!$E$6:$E$22,MATCH('Input-EWEMs'!Y$10,Assumptions!$B$6:$B$22,0)),""))</f>
        <v/>
      </c>
      <c r="Z41" s="671" t="str">
        <f>IF(W41="","",IFERROR(W41*INDEX(Assumptions!$E$6:$E$22,MATCH('Input-EWEMs'!Z$10,Assumptions!$B$6:$B$22,0)),""))</f>
        <v/>
      </c>
      <c r="AA41" s="672" t="str">
        <f>IF(X41="","",IFERROR(X41*INDEX(Assumptions!$E$6:$E$22,MATCH('Input-EWEMs'!AA$10,Assumptions!$B$6:$B$22,0)),""))</f>
        <v/>
      </c>
      <c r="AB41" s="673">
        <f t="shared" si="8"/>
        <v>0</v>
      </c>
      <c r="AC41" s="671">
        <f t="shared" si="9"/>
        <v>0</v>
      </c>
      <c r="AD41" s="671" t="str">
        <f>IF(U41="","",IFERROR(U41*INDEX(Assumptions!$D$24:$D$27,MATCH('Input-EWEMs'!U$11,Assumptions!$C$24:$C$27,0))/1000,""))</f>
        <v/>
      </c>
      <c r="AE41" s="672">
        <f>IFERROR(R41*INDEX(Assumptions!$H$6:$H$22,MATCH('Input-EWEMs'!R$11,Assumptions!$C$6:$C$22,0)),0)+IFERROR(S41*INDEX(Assumptions!$H$6:$H$22,MATCH('Input-EWEMs'!S$11,Assumptions!$C$6:$C$22,0)),0)+IFERROR(T41*INDEX(Assumptions!$H$6:$H$22,MATCH('Input-EWEMs'!T$11,Assumptions!$C$6:$C$22,0)),0)</f>
        <v>0</v>
      </c>
      <c r="AF41" s="674" t="str">
        <f>IFERROR(IF(D41="","",SUM(Y41:AA41)/'Input-Utilities'!$L$14),"")</f>
        <v/>
      </c>
      <c r="AG41" s="675" t="str">
        <f>IFERROR(IF(D41="","",U41/'Input-Utilities'!$J$13),"")</f>
        <v/>
      </c>
      <c r="AH41" s="676" t="str">
        <f>IFERROR(IF($D41="","",IF(INDEX('Reference-MeasureList EULs'!D:D, MATCH('Input-EWEMs'!E41,'Reference-MeasureList EULs'!C:C,0))=0,"",INDEX('Reference-MeasureList EULs'!D:D, MATCH('Input-EWEMs'!E41,'Reference-MeasureList EULs'!C:C,0)))),"")</f>
        <v/>
      </c>
    </row>
    <row r="42" spans="3:34" ht="15">
      <c r="C42" s="677"/>
      <c r="D42" s="678"/>
      <c r="E42" s="678"/>
      <c r="F42" s="679"/>
      <c r="G42" s="679"/>
      <c r="H42" s="678"/>
      <c r="I42" s="680"/>
      <c r="J42" s="679" t="s">
        <v>62</v>
      </c>
      <c r="K42" s="681">
        <f>SUM(K12:K41)</f>
        <v>0</v>
      </c>
      <c r="L42" s="682">
        <f>SUM(L12:L41)</f>
        <v>0</v>
      </c>
      <c r="M42" s="682">
        <f t="shared" ref="M42:AG42" si="10">SUM(M12:M41)</f>
        <v>0</v>
      </c>
      <c r="N42" s="683">
        <f t="shared" si="10"/>
        <v>0</v>
      </c>
      <c r="O42" s="684">
        <f t="shared" si="10"/>
        <v>0</v>
      </c>
      <c r="P42" s="682">
        <f t="shared" si="10"/>
        <v>0</v>
      </c>
      <c r="Q42" s="685">
        <f>SUM(Q12:Q41)</f>
        <v>0</v>
      </c>
      <c r="R42" s="686">
        <f t="shared" si="10"/>
        <v>0</v>
      </c>
      <c r="S42" s="687">
        <f t="shared" si="10"/>
        <v>0</v>
      </c>
      <c r="T42" s="687">
        <f t="shared" si="10"/>
        <v>0</v>
      </c>
      <c r="U42" s="688">
        <f t="shared" si="10"/>
        <v>0</v>
      </c>
      <c r="V42" s="689">
        <f t="shared" si="10"/>
        <v>0</v>
      </c>
      <c r="W42" s="690">
        <f t="shared" si="10"/>
        <v>0</v>
      </c>
      <c r="X42" s="691">
        <f t="shared" si="10"/>
        <v>0</v>
      </c>
      <c r="Y42" s="689">
        <f t="shared" si="10"/>
        <v>0</v>
      </c>
      <c r="Z42" s="690">
        <f t="shared" si="10"/>
        <v>0</v>
      </c>
      <c r="AA42" s="691">
        <f t="shared" si="10"/>
        <v>0</v>
      </c>
      <c r="AB42" s="686">
        <f t="shared" si="10"/>
        <v>0</v>
      </c>
      <c r="AC42" s="687">
        <f t="shared" si="10"/>
        <v>0</v>
      </c>
      <c r="AD42" s="687">
        <f t="shared" si="10"/>
        <v>0</v>
      </c>
      <c r="AE42" s="691">
        <f t="shared" si="10"/>
        <v>0</v>
      </c>
      <c r="AF42" s="692">
        <f t="shared" si="10"/>
        <v>0</v>
      </c>
      <c r="AG42" s="693">
        <f t="shared" si="10"/>
        <v>0</v>
      </c>
      <c r="AH42" s="694"/>
    </row>
    <row r="45" spans="3:34" ht="15" customHeight="1" thickBot="1">
      <c r="C45" s="216" t="s">
        <v>473</v>
      </c>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row>
    <row r="46" spans="3:34" ht="20.25" customHeight="1">
      <c r="C46" s="871" t="s">
        <v>823</v>
      </c>
      <c r="D46" s="871"/>
      <c r="E46" s="871"/>
      <c r="F46" s="871"/>
      <c r="G46" s="871"/>
      <c r="H46" s="871"/>
      <c r="I46" s="871"/>
      <c r="J46" s="871"/>
      <c r="K46" s="871"/>
      <c r="L46" s="871"/>
      <c r="M46" s="871"/>
      <c r="N46" s="871"/>
      <c r="O46" s="871"/>
      <c r="P46" s="871"/>
      <c r="Q46" s="871"/>
      <c r="R46" s="871"/>
      <c r="S46" s="871"/>
      <c r="T46" s="871"/>
      <c r="U46" s="695"/>
      <c r="V46" s="695"/>
      <c r="W46" s="695"/>
      <c r="X46" s="695"/>
      <c r="Y46" s="695"/>
      <c r="Z46" s="695"/>
      <c r="AA46" s="695"/>
      <c r="AB46" s="695"/>
      <c r="AC46" s="695"/>
      <c r="AD46" s="695"/>
      <c r="AE46" s="695"/>
      <c r="AF46" s="695"/>
      <c r="AG46" s="695"/>
      <c r="AH46" s="695"/>
    </row>
    <row r="48" spans="3:34">
      <c r="K48" s="1011" t="s">
        <v>18</v>
      </c>
      <c r="L48" s="1012"/>
      <c r="M48" s="1012"/>
      <c r="N48" s="1012"/>
      <c r="O48" s="1012"/>
      <c r="P48" s="1012"/>
      <c r="Q48" s="1013"/>
      <c r="R48" s="1011" t="s">
        <v>74</v>
      </c>
      <c r="S48" s="1012"/>
      <c r="T48" s="1012"/>
      <c r="U48" s="1012"/>
      <c r="V48" s="1012"/>
      <c r="W48" s="1012"/>
      <c r="X48" s="1012"/>
      <c r="Y48" s="1012"/>
      <c r="Z48" s="1012"/>
      <c r="AA48" s="1012"/>
      <c r="AB48" s="1012"/>
      <c r="AC48" s="1012"/>
      <c r="AD48" s="1012"/>
      <c r="AE48" s="1012"/>
      <c r="AF48" s="1012"/>
      <c r="AG48" s="1013"/>
    </row>
    <row r="49" spans="3:34" ht="36" customHeight="1">
      <c r="C49" s="825" t="s">
        <v>459</v>
      </c>
      <c r="D49" s="808" t="s">
        <v>768</v>
      </c>
      <c r="E49" s="1007" t="s">
        <v>769</v>
      </c>
      <c r="F49" s="1007" t="s">
        <v>767</v>
      </c>
      <c r="G49" s="810" t="s">
        <v>452</v>
      </c>
      <c r="H49" s="808" t="s">
        <v>273</v>
      </c>
      <c r="I49" s="1007" t="s">
        <v>433</v>
      </c>
      <c r="J49" s="810" t="s">
        <v>434</v>
      </c>
      <c r="K49" s="825" t="s">
        <v>276</v>
      </c>
      <c r="L49" s="1003" t="s">
        <v>435</v>
      </c>
      <c r="M49" s="1004"/>
      <c r="N49" s="1005"/>
      <c r="O49" s="1003" t="s">
        <v>436</v>
      </c>
      <c r="P49" s="1004"/>
      <c r="Q49" s="1005"/>
      <c r="R49" s="808" t="s">
        <v>24</v>
      </c>
      <c r="S49" s="1007" t="str">
        <f>S9</f>
        <v>n/a</v>
      </c>
      <c r="T49" s="1007" t="str">
        <f>T9</f>
        <v>n/a</v>
      </c>
      <c r="U49" s="810" t="str">
        <f>U9</f>
        <v>Annual Water Savings</v>
      </c>
      <c r="V49" s="1003" t="s">
        <v>584</v>
      </c>
      <c r="W49" s="1004"/>
      <c r="X49" s="1005"/>
      <c r="Y49" s="1003" t="s">
        <v>585</v>
      </c>
      <c r="Z49" s="1004"/>
      <c r="AA49" s="1005"/>
      <c r="AB49" s="696" t="s">
        <v>584</v>
      </c>
      <c r="AC49" s="605" t="s">
        <v>585</v>
      </c>
      <c r="AD49" s="605" t="s">
        <v>586</v>
      </c>
      <c r="AE49" s="697" t="s">
        <v>739</v>
      </c>
      <c r="AF49" s="808" t="s">
        <v>70</v>
      </c>
      <c r="AG49" s="810" t="s">
        <v>22</v>
      </c>
      <c r="AH49" s="810" t="s">
        <v>508</v>
      </c>
    </row>
    <row r="50" spans="3:34">
      <c r="C50" s="1014"/>
      <c r="D50" s="1016"/>
      <c r="E50" s="1008"/>
      <c r="F50" s="1008"/>
      <c r="G50" s="1018"/>
      <c r="H50" s="1016"/>
      <c r="I50" s="1008"/>
      <c r="J50" s="1018"/>
      <c r="K50" s="1020"/>
      <c r="L50" s="607" t="s">
        <v>437</v>
      </c>
      <c r="M50" s="698" t="s">
        <v>4</v>
      </c>
      <c r="N50" s="608" t="s">
        <v>465</v>
      </c>
      <c r="O50" s="609" t="s">
        <v>437</v>
      </c>
      <c r="P50" s="698" t="s">
        <v>4</v>
      </c>
      <c r="Q50" s="608" t="s">
        <v>465</v>
      </c>
      <c r="R50" s="1021"/>
      <c r="S50" s="1010"/>
      <c r="T50" s="1010"/>
      <c r="U50" s="1006"/>
      <c r="V50" s="610" t="str">
        <f>V10</f>
        <v>Electricity</v>
      </c>
      <c r="W50" s="611" t="str">
        <f t="shared" ref="W50:AD50" si="11">W10</f>
        <v>n/a</v>
      </c>
      <c r="X50" s="612" t="str">
        <f t="shared" si="11"/>
        <v>n/a</v>
      </c>
      <c r="Y50" s="610" t="str">
        <f t="shared" si="11"/>
        <v>Electricity</v>
      </c>
      <c r="Z50" s="611" t="str">
        <f t="shared" si="11"/>
        <v>n/a</v>
      </c>
      <c r="AA50" s="612" t="str">
        <f t="shared" si="11"/>
        <v>n/a</v>
      </c>
      <c r="AB50" s="613" t="s">
        <v>721</v>
      </c>
      <c r="AC50" s="611" t="s">
        <v>721</v>
      </c>
      <c r="AD50" s="611" t="str">
        <f t="shared" si="11"/>
        <v>Water and Sewer</v>
      </c>
      <c r="AE50" s="699" t="s">
        <v>721</v>
      </c>
      <c r="AF50" s="1021"/>
      <c r="AG50" s="1006"/>
      <c r="AH50" s="1006"/>
    </row>
    <row r="51" spans="3:34" ht="15" thickBot="1">
      <c r="C51" s="1015"/>
      <c r="D51" s="1017"/>
      <c r="E51" s="1009"/>
      <c r="F51" s="1009"/>
      <c r="G51" s="1019"/>
      <c r="H51" s="1017"/>
      <c r="I51" s="1009"/>
      <c r="J51" s="1019"/>
      <c r="K51" s="614" t="s">
        <v>20</v>
      </c>
      <c r="L51" s="615" t="s">
        <v>20</v>
      </c>
      <c r="M51" s="615" t="s">
        <v>20</v>
      </c>
      <c r="N51" s="616" t="s">
        <v>20</v>
      </c>
      <c r="O51" s="617" t="s">
        <v>20</v>
      </c>
      <c r="P51" s="615" t="s">
        <v>20</v>
      </c>
      <c r="Q51" s="616" t="s">
        <v>20</v>
      </c>
      <c r="R51" s="618" t="s">
        <v>21</v>
      </c>
      <c r="S51" s="615" t="str">
        <f>S11</f>
        <v/>
      </c>
      <c r="T51" s="615" t="str">
        <f>T11</f>
        <v/>
      </c>
      <c r="U51" s="619">
        <f>U11</f>
        <v>0</v>
      </c>
      <c r="V51" s="620" t="s">
        <v>577</v>
      </c>
      <c r="W51" s="615" t="s">
        <v>577</v>
      </c>
      <c r="X51" s="616" t="s">
        <v>577</v>
      </c>
      <c r="Y51" s="620" t="s">
        <v>577</v>
      </c>
      <c r="Z51" s="615" t="s">
        <v>577</v>
      </c>
      <c r="AA51" s="616" t="s">
        <v>577</v>
      </c>
      <c r="AB51" s="618" t="s">
        <v>577</v>
      </c>
      <c r="AC51" s="615" t="s">
        <v>577</v>
      </c>
      <c r="AD51" s="615" t="s">
        <v>578</v>
      </c>
      <c r="AE51" s="619" t="s">
        <v>740</v>
      </c>
      <c r="AF51" s="618" t="s">
        <v>71</v>
      </c>
      <c r="AG51" s="619" t="s">
        <v>71</v>
      </c>
      <c r="AH51" s="619" t="s">
        <v>509</v>
      </c>
    </row>
    <row r="52" spans="3:34" ht="15" thickTop="1">
      <c r="C52" s="700"/>
      <c r="D52" s="701" t="str">
        <f>IFERROR(INDEX('Input-EWEMs'!D$12:D$41, MATCH($C52, 'Input-EWEMs'!$C$12:$C$41, 0)),"")</f>
        <v/>
      </c>
      <c r="E52" s="702" t="str">
        <f>IFERROR(INDEX('Input-EWEMs'!E$12:E$41, MATCH($C52, 'Input-EWEMs'!$C$12:$C$41, 0)),"")</f>
        <v/>
      </c>
      <c r="F52" s="623"/>
      <c r="G52" s="625"/>
      <c r="H52" s="626"/>
      <c r="I52" s="627"/>
      <c r="J52" s="628" t="str">
        <f>IFERROR(IF(I52=0,"",I52/'Input-Property'!$D$42),"")</f>
        <v/>
      </c>
      <c r="K52" s="629"/>
      <c r="L52" s="630"/>
      <c r="M52" s="630"/>
      <c r="N52" s="631" t="str">
        <f>IF(D52="","",SUM(L52:M52))</f>
        <v/>
      </c>
      <c r="O52" s="632"/>
      <c r="P52" s="630"/>
      <c r="Q52" s="631" t="str">
        <f>IF(D52="","",SUM(O52:P52))</f>
        <v/>
      </c>
      <c r="R52" s="493"/>
      <c r="S52" s="491"/>
      <c r="T52" s="491"/>
      <c r="U52" s="633"/>
      <c r="V52" s="634" t="str">
        <f>IF(R52="","",IFERROR(R52*INDEX(Assumptions!$D$6:$D$22,MATCH('Input-EWEMs'!R$11,Assumptions!$C$6:$C$22,0))/1000,""))</f>
        <v/>
      </c>
      <c r="W52" s="635" t="str">
        <f>IF(S52="","",IFERROR(S52*INDEX(Assumptions!$D$6:$D$22,MATCH('Input-EWEMs'!S$11,Assumptions!$C$6:$C$22,0))/1000,""))</f>
        <v/>
      </c>
      <c r="X52" s="636" t="str">
        <f>IF(T52="","",IFERROR(T52*INDEX(Assumptions!$D$6:$D$22,MATCH('Input-EWEMs'!T$11,Assumptions!$C$6:$C$22,0))/1000,""))</f>
        <v/>
      </c>
      <c r="Y52" s="634" t="str">
        <f>IF(V52="","",IFERROR(V52*INDEX(Assumptions!$E$6:$E$22,MATCH('Input-EWEMs'!Y$10,Assumptions!$B$6:$B$22,0)),""))</f>
        <v/>
      </c>
      <c r="Z52" s="635" t="str">
        <f>IF(W52="","",IFERROR(W52*INDEX(Assumptions!$E$6:$E$22,MATCH('Input-EWEMs'!Z$10,Assumptions!$B$6:$B$22,0)),""))</f>
        <v/>
      </c>
      <c r="AA52" s="636" t="str">
        <f>IF(X52="","",IFERROR(X52*INDEX(Assumptions!$E$6:$E$22,MATCH('Input-EWEMs'!AA$10,Assumptions!$B$6:$B$22,0)),""))</f>
        <v/>
      </c>
      <c r="AB52" s="637">
        <f>SUM(V52:X52)</f>
        <v>0</v>
      </c>
      <c r="AC52" s="635">
        <f>SUM(Y52:AA52)</f>
        <v>0</v>
      </c>
      <c r="AD52" s="638" t="str">
        <f>IF(U52="","",IFERROR(U52*INDEX(Assumptions!$D$24:$D$27,MATCH('Input-EWEMs'!U$11,Assumptions!$C$24:$C$27,0))/1000,""))</f>
        <v/>
      </c>
      <c r="AE52" s="703">
        <f>IFERROR(R52*INDEX(Assumptions!$H$6:$H$22,MATCH('Input-EWEMs'!R$11,Assumptions!$C$6:$C$22,0)),0)+IFERROR(S52*INDEX(Assumptions!$H$6:$H$22,MATCH('Input-EWEMs'!S$11,Assumptions!$C$6:$C$22,0)),0)+IFERROR(T52*INDEX(Assumptions!$H$6:$H$22,MATCH('Input-EWEMs'!T$11,Assumptions!$C$6:$C$22,0)),0)</f>
        <v>0</v>
      </c>
      <c r="AF52" s="640" t="str">
        <f>IFERROR(IF(D52="","",SUM(Y52:AA52)/'Input-Utilities'!$L$14),"")</f>
        <v/>
      </c>
      <c r="AG52" s="641" t="str">
        <f>IFERROR(IF(D52="","",U52/'Input-Utilities'!$J$13),"")</f>
        <v/>
      </c>
      <c r="AH52" s="642" t="str">
        <f>IFERROR(IF($D52="","",IF(INDEX('Reference-MeasureList EULs'!D:D, MATCH('Input-EWEMs'!E52,'Reference-MeasureList EULs'!C:C,0))=0,"",INDEX('Reference-MeasureList EULs'!D:D, MATCH('Input-EWEMs'!E52,'Reference-MeasureList EULs'!C:C,0)))),"")</f>
        <v/>
      </c>
    </row>
    <row r="53" spans="3:34">
      <c r="C53" s="700"/>
      <c r="D53" s="701" t="str">
        <f>IFERROR(INDEX('Input-EWEMs'!D$12:D$41, MATCH($C53, 'Input-EWEMs'!$C$12:$C$41, 0)),"")</f>
        <v/>
      </c>
      <c r="E53" s="702" t="str">
        <f>IFERROR(INDEX('Input-EWEMs'!E$12:E$41, MATCH($C53, 'Input-EWEMs'!$C$12:$C$41, 0)),"")</f>
        <v/>
      </c>
      <c r="F53" s="645"/>
      <c r="G53" s="625"/>
      <c r="H53" s="648"/>
      <c r="I53" s="649"/>
      <c r="J53" s="628" t="str">
        <f>IFERROR(IF(I53=0,"",I53/'Input-Property'!$D$42),"")</f>
        <v/>
      </c>
      <c r="K53" s="650"/>
      <c r="L53" s="651"/>
      <c r="M53" s="651"/>
      <c r="N53" s="631" t="str">
        <f t="shared" ref="N53:N61" si="12">IF(D53="","",SUM(L53:M53))</f>
        <v/>
      </c>
      <c r="O53" s="652"/>
      <c r="P53" s="651"/>
      <c r="Q53" s="631" t="str">
        <f t="shared" ref="Q53:Q61" si="13">IF(D53="","",SUM(O53:P53))</f>
        <v/>
      </c>
      <c r="R53" s="653"/>
      <c r="S53" s="497"/>
      <c r="T53" s="497"/>
      <c r="U53" s="654"/>
      <c r="V53" s="634" t="str">
        <f>IF(R53="","",IFERROR(R53*INDEX(Assumptions!$D$6:$D$22,MATCH('Input-EWEMs'!R$11,Assumptions!$C$6:$C$22,0))/1000,""))</f>
        <v/>
      </c>
      <c r="W53" s="635" t="str">
        <f>IF(S53="","",IFERROR(S53*INDEX(Assumptions!$D$6:$D$22,MATCH('Input-EWEMs'!S$11,Assumptions!$C$6:$C$22,0))/1000,""))</f>
        <v/>
      </c>
      <c r="X53" s="636" t="str">
        <f>IF(T53="","",IFERROR(T53*INDEX(Assumptions!$D$6:$D$22,MATCH('Input-EWEMs'!T$11,Assumptions!$C$6:$C$22,0))/1000,""))</f>
        <v/>
      </c>
      <c r="Y53" s="634" t="str">
        <f>IF(V53="","",IFERROR(V53*INDEX(Assumptions!$E$6:$E$22,MATCH('Input-EWEMs'!Y$10,Assumptions!$B$6:$B$22,0)),""))</f>
        <v/>
      </c>
      <c r="Z53" s="635" t="str">
        <f>IF(W53="","",IFERROR(W53*INDEX(Assumptions!$E$6:$E$22,MATCH('Input-EWEMs'!Z$10,Assumptions!$B$6:$B$22,0)),""))</f>
        <v/>
      </c>
      <c r="AA53" s="636" t="str">
        <f>IF(X53="","",IFERROR(X53*INDEX(Assumptions!$E$6:$E$22,MATCH('Input-EWEMs'!AA$10,Assumptions!$B$6:$B$22,0)),""))</f>
        <v/>
      </c>
      <c r="AB53" s="637">
        <f>SUM(V53:X53)</f>
        <v>0</v>
      </c>
      <c r="AC53" s="635">
        <f>SUM(Y53:AA53)</f>
        <v>0</v>
      </c>
      <c r="AD53" s="704" t="str">
        <f>IF(U53="","",IFERROR(U53*INDEX(Assumptions!$D$24:$D$27,MATCH('Input-EWEMs'!U$11,Assumptions!$C$24:$C$27,0))/1000,""))</f>
        <v/>
      </c>
      <c r="AE53" s="705">
        <f>IFERROR(R53*INDEX(Assumptions!$H$6:$H$22,MATCH('Input-EWEMs'!R$11,Assumptions!$C$6:$C$22,0)),0)+IFERROR(S53*INDEX(Assumptions!$H$6:$H$22,MATCH('Input-EWEMs'!S$11,Assumptions!$C$6:$C$22,0)),0)+IFERROR(T53*INDEX(Assumptions!$H$6:$H$22,MATCH('Input-EWEMs'!T$11,Assumptions!$C$6:$C$22,0)),0)</f>
        <v>0</v>
      </c>
      <c r="AF53" s="640" t="str">
        <f>IFERROR(IF(D53="","",SUM(Y53:AA53)/'Input-Utilities'!$L$14),"")</f>
        <v/>
      </c>
      <c r="AG53" s="641" t="str">
        <f>IFERROR(IF(D53="","",U53/'Input-Utilities'!$J$13),"")</f>
        <v/>
      </c>
      <c r="AH53" s="642" t="str">
        <f>IFERROR(IF($D53="","",IF(INDEX('Reference-MeasureList EULs'!D:D, MATCH('Input-EWEMs'!E53,'Reference-MeasureList EULs'!C:C,0))=0,"",INDEX('Reference-MeasureList EULs'!D:D, MATCH('Input-EWEMs'!E53,'Reference-MeasureList EULs'!C:C,0)))),"")</f>
        <v/>
      </c>
    </row>
    <row r="54" spans="3:34">
      <c r="C54" s="700"/>
      <c r="D54" s="701" t="str">
        <f>IFERROR(INDEX('Input-EWEMs'!D$12:D$41, MATCH($C54, 'Input-EWEMs'!$C$12:$C$41, 0)),"")</f>
        <v/>
      </c>
      <c r="E54" s="702" t="str">
        <f>IFERROR(INDEX('Input-EWEMs'!E$12:E$41, MATCH($C54, 'Input-EWEMs'!$C$12:$C$41, 0)),"")</f>
        <v/>
      </c>
      <c r="F54" s="645"/>
      <c r="G54" s="625"/>
      <c r="H54" s="648"/>
      <c r="I54" s="649"/>
      <c r="J54" s="628" t="str">
        <f>IFERROR(IF(I54=0,"",I54/'Input-Property'!$D$42),"")</f>
        <v/>
      </c>
      <c r="K54" s="650"/>
      <c r="L54" s="651"/>
      <c r="M54" s="651"/>
      <c r="N54" s="631" t="str">
        <f t="shared" si="12"/>
        <v/>
      </c>
      <c r="O54" s="652"/>
      <c r="P54" s="651"/>
      <c r="Q54" s="631" t="str">
        <f t="shared" si="13"/>
        <v/>
      </c>
      <c r="R54" s="653"/>
      <c r="S54" s="497"/>
      <c r="T54" s="497"/>
      <c r="U54" s="654"/>
      <c r="V54" s="634" t="str">
        <f>IF(R54="","",IFERROR(R54*INDEX(Assumptions!$D$6:$D$22,MATCH('Input-EWEMs'!R$11,Assumptions!$C$6:$C$22,0))/1000,""))</f>
        <v/>
      </c>
      <c r="W54" s="635" t="str">
        <f>IF(S54="","",IFERROR(S54*INDEX(Assumptions!$D$6:$D$22,MATCH('Input-EWEMs'!S$11,Assumptions!$C$6:$C$22,0))/1000,""))</f>
        <v/>
      </c>
      <c r="X54" s="636" t="str">
        <f>IF(T54="","",IFERROR(T54*INDEX(Assumptions!$D$6:$D$22,MATCH('Input-EWEMs'!T$11,Assumptions!$C$6:$C$22,0))/1000,""))</f>
        <v/>
      </c>
      <c r="Y54" s="634" t="str">
        <f>IF(V54="","",IFERROR(V54*INDEX(Assumptions!$E$6:$E$22,MATCH('Input-EWEMs'!Y$10,Assumptions!$B$6:$B$22,0)),""))</f>
        <v/>
      </c>
      <c r="Z54" s="635" t="str">
        <f>IF(W54="","",IFERROR(W54*INDEX(Assumptions!$E$6:$E$22,MATCH('Input-EWEMs'!Z$10,Assumptions!$B$6:$B$22,0)),""))</f>
        <v/>
      </c>
      <c r="AA54" s="636" t="str">
        <f>IF(X54="","",IFERROR(X54*INDEX(Assumptions!$E$6:$E$22,MATCH('Input-EWEMs'!AA$10,Assumptions!$B$6:$B$22,0)),""))</f>
        <v/>
      </c>
      <c r="AB54" s="637">
        <f t="shared" ref="AB54:AB61" si="14">SUM(V54:X54)</f>
        <v>0</v>
      </c>
      <c r="AC54" s="635">
        <f t="shared" ref="AC54:AC61" si="15">SUM(Y54:AA54)</f>
        <v>0</v>
      </c>
      <c r="AD54" s="704" t="str">
        <f>IF(U54="","",IFERROR(U54*INDEX(Assumptions!$D$24:$D$27,MATCH('Input-EWEMs'!U$11,Assumptions!$C$24:$C$27,0))/1000,""))</f>
        <v/>
      </c>
      <c r="AE54" s="705">
        <f>IFERROR(R54*INDEX(Assumptions!$H$6:$H$22,MATCH('Input-EWEMs'!R$11,Assumptions!$C$6:$C$22,0)),0)+IFERROR(S54*INDEX(Assumptions!$H$6:$H$22,MATCH('Input-EWEMs'!S$11,Assumptions!$C$6:$C$22,0)),0)+IFERROR(T54*INDEX(Assumptions!$H$6:$H$22,MATCH('Input-EWEMs'!T$11,Assumptions!$C$6:$C$22,0)),0)</f>
        <v>0</v>
      </c>
      <c r="AF54" s="640" t="str">
        <f>IFERROR(IF(D54="","",SUM(Y54:AA54)/'Input-Utilities'!$L$14),"")</f>
        <v/>
      </c>
      <c r="AG54" s="641" t="str">
        <f>IFERROR(IF(D54="","",U54/'Input-Utilities'!$J$13),"")</f>
        <v/>
      </c>
      <c r="AH54" s="642" t="str">
        <f>IFERROR(IF($D54="","",IF(INDEX('Reference-MeasureList EULs'!D:D, MATCH('Input-EWEMs'!E54,'Reference-MeasureList EULs'!C:C,0))=0,"",INDEX('Reference-MeasureList EULs'!D:D, MATCH('Input-EWEMs'!E54,'Reference-MeasureList EULs'!C:C,0)))),"")</f>
        <v/>
      </c>
    </row>
    <row r="55" spans="3:34">
      <c r="C55" s="700"/>
      <c r="D55" s="701" t="str">
        <f>IFERROR(INDEX('Input-EWEMs'!D$12:D$41, MATCH($C55, 'Input-EWEMs'!$C$12:$C$41, 0)),"")</f>
        <v/>
      </c>
      <c r="E55" s="702" t="str">
        <f>IFERROR(INDEX('Input-EWEMs'!E$12:E$41, MATCH($C55, 'Input-EWEMs'!$C$12:$C$41, 0)),"")</f>
        <v/>
      </c>
      <c r="F55" s="645"/>
      <c r="G55" s="625"/>
      <c r="H55" s="648"/>
      <c r="I55" s="649"/>
      <c r="J55" s="628" t="str">
        <f>IFERROR(IF(I55=0,"",I55/'Input-Property'!$D$42),"")</f>
        <v/>
      </c>
      <c r="K55" s="650"/>
      <c r="L55" s="651"/>
      <c r="M55" s="651"/>
      <c r="N55" s="631" t="str">
        <f t="shared" si="12"/>
        <v/>
      </c>
      <c r="O55" s="652"/>
      <c r="P55" s="651"/>
      <c r="Q55" s="631" t="str">
        <f t="shared" si="13"/>
        <v/>
      </c>
      <c r="R55" s="653"/>
      <c r="S55" s="497"/>
      <c r="T55" s="497"/>
      <c r="U55" s="654"/>
      <c r="V55" s="634" t="str">
        <f>IF(R55="","",IFERROR(R55*INDEX(Assumptions!$D$6:$D$22,MATCH('Input-EWEMs'!R$11,Assumptions!$C$6:$C$22,0))/1000,""))</f>
        <v/>
      </c>
      <c r="W55" s="635" t="str">
        <f>IF(S55="","",IFERROR(S55*INDEX(Assumptions!$D$6:$D$22,MATCH('Input-EWEMs'!S$11,Assumptions!$C$6:$C$22,0))/1000,""))</f>
        <v/>
      </c>
      <c r="X55" s="636" t="str">
        <f>IF(T55="","",IFERROR(T55*INDEX(Assumptions!$D$6:$D$22,MATCH('Input-EWEMs'!T$11,Assumptions!$C$6:$C$22,0))/1000,""))</f>
        <v/>
      </c>
      <c r="Y55" s="634" t="str">
        <f>IF(V55="","",IFERROR(V55*INDEX(Assumptions!$E$6:$E$22,MATCH('Input-EWEMs'!Y$10,Assumptions!$B$6:$B$22,0)),""))</f>
        <v/>
      </c>
      <c r="Z55" s="635" t="str">
        <f>IF(W55="","",IFERROR(W55*INDEX(Assumptions!$E$6:$E$22,MATCH('Input-EWEMs'!Z$10,Assumptions!$B$6:$B$22,0)),""))</f>
        <v/>
      </c>
      <c r="AA55" s="636" t="str">
        <f>IF(X55="","",IFERROR(X55*INDEX(Assumptions!$E$6:$E$22,MATCH('Input-EWEMs'!AA$10,Assumptions!$B$6:$B$22,0)),""))</f>
        <v/>
      </c>
      <c r="AB55" s="637">
        <f t="shared" si="14"/>
        <v>0</v>
      </c>
      <c r="AC55" s="635">
        <f t="shared" si="15"/>
        <v>0</v>
      </c>
      <c r="AD55" s="704" t="str">
        <f>IF(U55="","",IFERROR(U55*INDEX(Assumptions!$D$24:$D$27,MATCH('Input-EWEMs'!U$11,Assumptions!$C$24:$C$27,0))/1000,""))</f>
        <v/>
      </c>
      <c r="AE55" s="705">
        <f>IFERROR(R55*INDEX(Assumptions!$H$6:$H$22,MATCH('Input-EWEMs'!R$11,Assumptions!$C$6:$C$22,0)),0)+IFERROR(S55*INDEX(Assumptions!$H$6:$H$22,MATCH('Input-EWEMs'!S$11,Assumptions!$C$6:$C$22,0)),0)+IFERROR(T55*INDEX(Assumptions!$H$6:$H$22,MATCH('Input-EWEMs'!T$11,Assumptions!$C$6:$C$22,0)),0)</f>
        <v>0</v>
      </c>
      <c r="AF55" s="640" t="str">
        <f>IFERROR(IF(D55="","",SUM(Y55:AA55)/'Input-Utilities'!$L$14),"")</f>
        <v/>
      </c>
      <c r="AG55" s="641" t="str">
        <f>IFERROR(IF(D55="","",U55/'Input-Utilities'!$J$13),"")</f>
        <v/>
      </c>
      <c r="AH55" s="642" t="str">
        <f>IFERROR(IF($D55="","",IF(INDEX('Reference-MeasureList EULs'!D:D, MATCH('Input-EWEMs'!E55,'Reference-MeasureList EULs'!C:C,0))=0,"",INDEX('Reference-MeasureList EULs'!D:D, MATCH('Input-EWEMs'!E55,'Reference-MeasureList EULs'!C:C,0)))),"")</f>
        <v/>
      </c>
    </row>
    <row r="56" spans="3:34">
      <c r="C56" s="700"/>
      <c r="D56" s="701" t="str">
        <f>IFERROR(INDEX('Input-EWEMs'!D$12:D$41, MATCH($C56, 'Input-EWEMs'!$C$12:$C$41, 0)),"")</f>
        <v/>
      </c>
      <c r="E56" s="702" t="str">
        <f>IFERROR(INDEX('Input-EWEMs'!E$12:E$41, MATCH($C56, 'Input-EWEMs'!$C$12:$C$41, 0)),"")</f>
        <v/>
      </c>
      <c r="F56" s="645"/>
      <c r="G56" s="625"/>
      <c r="H56" s="648"/>
      <c r="I56" s="649"/>
      <c r="J56" s="628" t="str">
        <f>IFERROR(IF(I56=0,"",I56/'Input-Property'!$D$42),"")</f>
        <v/>
      </c>
      <c r="K56" s="650"/>
      <c r="L56" s="651"/>
      <c r="M56" s="651"/>
      <c r="N56" s="631" t="str">
        <f t="shared" si="12"/>
        <v/>
      </c>
      <c r="O56" s="652"/>
      <c r="P56" s="651"/>
      <c r="Q56" s="631" t="str">
        <f t="shared" si="13"/>
        <v/>
      </c>
      <c r="R56" s="653"/>
      <c r="S56" s="497"/>
      <c r="T56" s="497"/>
      <c r="U56" s="654"/>
      <c r="V56" s="634" t="str">
        <f>IF(R56="","",IFERROR(R56*INDEX(Assumptions!$D$6:$D$22,MATCH('Input-EWEMs'!R$11,Assumptions!$C$6:$C$22,0))/1000,""))</f>
        <v/>
      </c>
      <c r="W56" s="635" t="str">
        <f>IF(S56="","",IFERROR(S56*INDEX(Assumptions!$D$6:$D$22,MATCH('Input-EWEMs'!S$11,Assumptions!$C$6:$C$22,0))/1000,""))</f>
        <v/>
      </c>
      <c r="X56" s="636" t="str">
        <f>IF(T56="","",IFERROR(T56*INDEX(Assumptions!$D$6:$D$22,MATCH('Input-EWEMs'!T$11,Assumptions!$C$6:$C$22,0))/1000,""))</f>
        <v/>
      </c>
      <c r="Y56" s="634" t="str">
        <f>IF(V56="","",IFERROR(V56*INDEX(Assumptions!$E$6:$E$22,MATCH('Input-EWEMs'!Y$10,Assumptions!$B$6:$B$22,0)),""))</f>
        <v/>
      </c>
      <c r="Z56" s="635" t="str">
        <f>IF(W56="","",IFERROR(W56*INDEX(Assumptions!$E$6:$E$22,MATCH('Input-EWEMs'!Z$10,Assumptions!$B$6:$B$22,0)),""))</f>
        <v/>
      </c>
      <c r="AA56" s="636" t="str">
        <f>IF(X56="","",IFERROR(X56*INDEX(Assumptions!$E$6:$E$22,MATCH('Input-EWEMs'!AA$10,Assumptions!$B$6:$B$22,0)),""))</f>
        <v/>
      </c>
      <c r="AB56" s="637">
        <f t="shared" si="14"/>
        <v>0</v>
      </c>
      <c r="AC56" s="635">
        <f t="shared" si="15"/>
        <v>0</v>
      </c>
      <c r="AD56" s="704" t="str">
        <f>IF(U56="","",IFERROR(U56*INDEX(Assumptions!$D$24:$D$27,MATCH('Input-EWEMs'!U$11,Assumptions!$C$24:$C$27,0))/1000,""))</f>
        <v/>
      </c>
      <c r="AE56" s="705">
        <f>IFERROR(R56*INDEX(Assumptions!$H$6:$H$22,MATCH('Input-EWEMs'!R$11,Assumptions!$C$6:$C$22,0)),0)+IFERROR(S56*INDEX(Assumptions!$H$6:$H$22,MATCH('Input-EWEMs'!S$11,Assumptions!$C$6:$C$22,0)),0)+IFERROR(T56*INDEX(Assumptions!$H$6:$H$22,MATCH('Input-EWEMs'!T$11,Assumptions!$C$6:$C$22,0)),0)</f>
        <v>0</v>
      </c>
      <c r="AF56" s="640" t="str">
        <f>IFERROR(IF(D56="","",SUM(Y56:AA56)/'Input-Utilities'!$L$14),"")</f>
        <v/>
      </c>
      <c r="AG56" s="641" t="str">
        <f>IFERROR(IF(D56="","",U56/'Input-Utilities'!$J$13),"")</f>
        <v/>
      </c>
      <c r="AH56" s="642" t="str">
        <f>IFERROR(IF($D56="","",IF(INDEX('Reference-MeasureList EULs'!D:D, MATCH('Input-EWEMs'!E56,'Reference-MeasureList EULs'!C:C,0))=0,"",INDEX('Reference-MeasureList EULs'!D:D, MATCH('Input-EWEMs'!E56,'Reference-MeasureList EULs'!C:C,0)))),"")</f>
        <v/>
      </c>
    </row>
    <row r="57" spans="3:34">
      <c r="C57" s="700"/>
      <c r="D57" s="701" t="str">
        <f>IFERROR(INDEX('Input-EWEMs'!D$12:D$41, MATCH($C57, 'Input-EWEMs'!$C$12:$C$41, 0)),"")</f>
        <v/>
      </c>
      <c r="E57" s="702" t="str">
        <f>IFERROR(INDEX('Input-EWEMs'!E$12:E$41, MATCH($C57, 'Input-EWEMs'!$C$12:$C$41, 0)),"")</f>
        <v/>
      </c>
      <c r="F57" s="645"/>
      <c r="G57" s="625"/>
      <c r="H57" s="648"/>
      <c r="I57" s="649"/>
      <c r="J57" s="628" t="str">
        <f>IFERROR(IF(I57=0,"",I57/'Input-Property'!$D$42),"")</f>
        <v/>
      </c>
      <c r="K57" s="650"/>
      <c r="L57" s="651"/>
      <c r="M57" s="651"/>
      <c r="N57" s="631" t="str">
        <f t="shared" si="12"/>
        <v/>
      </c>
      <c r="O57" s="652"/>
      <c r="P57" s="651"/>
      <c r="Q57" s="631" t="str">
        <f t="shared" si="13"/>
        <v/>
      </c>
      <c r="R57" s="653"/>
      <c r="S57" s="497"/>
      <c r="T57" s="497"/>
      <c r="U57" s="654"/>
      <c r="V57" s="634" t="str">
        <f>IF(R57="","",IFERROR(R57*INDEX(Assumptions!$D$6:$D$22,MATCH('Input-EWEMs'!R$11,Assumptions!$C$6:$C$22,0))/1000,""))</f>
        <v/>
      </c>
      <c r="W57" s="635" t="str">
        <f>IF(S57="","",IFERROR(S57*INDEX(Assumptions!$D$6:$D$22,MATCH('Input-EWEMs'!S$11,Assumptions!$C$6:$C$22,0))/1000,""))</f>
        <v/>
      </c>
      <c r="X57" s="636" t="str">
        <f>IF(T57="","",IFERROR(T57*INDEX(Assumptions!$D$6:$D$22,MATCH('Input-EWEMs'!T$11,Assumptions!$C$6:$C$22,0))/1000,""))</f>
        <v/>
      </c>
      <c r="Y57" s="634" t="str">
        <f>IF(V57="","",IFERROR(V57*INDEX(Assumptions!$E$6:$E$22,MATCH('Input-EWEMs'!Y$10,Assumptions!$B$6:$B$22,0)),""))</f>
        <v/>
      </c>
      <c r="Z57" s="635" t="str">
        <f>IF(W57="","",IFERROR(W57*INDEX(Assumptions!$E$6:$E$22,MATCH('Input-EWEMs'!Z$10,Assumptions!$B$6:$B$22,0)),""))</f>
        <v/>
      </c>
      <c r="AA57" s="636" t="str">
        <f>IF(X57="","",IFERROR(X57*INDEX(Assumptions!$E$6:$E$22,MATCH('Input-EWEMs'!AA$10,Assumptions!$B$6:$B$22,0)),""))</f>
        <v/>
      </c>
      <c r="AB57" s="637">
        <f t="shared" si="14"/>
        <v>0</v>
      </c>
      <c r="AC57" s="635">
        <f t="shared" si="15"/>
        <v>0</v>
      </c>
      <c r="AD57" s="704" t="str">
        <f>IF(U57="","",IFERROR(U57*INDEX(Assumptions!$D$24:$D$27,MATCH('Input-EWEMs'!U$11,Assumptions!$C$24:$C$27,0))/1000,""))</f>
        <v/>
      </c>
      <c r="AE57" s="705">
        <f>IFERROR(R57*INDEX(Assumptions!$H$6:$H$22,MATCH('Input-EWEMs'!R$11,Assumptions!$C$6:$C$22,0)),0)+IFERROR(S57*INDEX(Assumptions!$H$6:$H$22,MATCH('Input-EWEMs'!S$11,Assumptions!$C$6:$C$22,0)),0)+IFERROR(T57*INDEX(Assumptions!$H$6:$H$22,MATCH('Input-EWEMs'!T$11,Assumptions!$C$6:$C$22,0)),0)</f>
        <v>0</v>
      </c>
      <c r="AF57" s="640" t="str">
        <f>IFERROR(IF(D57="","",SUM(Y57:AA57)/'Input-Utilities'!$L$14),"")</f>
        <v/>
      </c>
      <c r="AG57" s="641" t="str">
        <f>IFERROR(IF(D57="","",U57/'Input-Utilities'!$J$13),"")</f>
        <v/>
      </c>
      <c r="AH57" s="642" t="str">
        <f>IFERROR(IF($D57="","",IF(INDEX('Reference-MeasureList EULs'!D:D, MATCH('Input-EWEMs'!E57,'Reference-MeasureList EULs'!C:C,0))=0,"",INDEX('Reference-MeasureList EULs'!D:D, MATCH('Input-EWEMs'!E57,'Reference-MeasureList EULs'!C:C,0)))),"")</f>
        <v/>
      </c>
    </row>
    <row r="58" spans="3:34">
      <c r="C58" s="700"/>
      <c r="D58" s="701" t="str">
        <f>IFERROR(INDEX('Input-EWEMs'!D$12:D$41, MATCH($C58, 'Input-EWEMs'!$C$12:$C$41, 0)),"")</f>
        <v/>
      </c>
      <c r="E58" s="702" t="str">
        <f>IFERROR(INDEX('Input-EWEMs'!E$12:E$41, MATCH($C58, 'Input-EWEMs'!$C$12:$C$41, 0)),"")</f>
        <v/>
      </c>
      <c r="F58" s="645"/>
      <c r="G58" s="625"/>
      <c r="H58" s="648"/>
      <c r="I58" s="649"/>
      <c r="J58" s="628" t="str">
        <f>IFERROR(IF(I58=0,"",I58/'Input-Property'!$D$42),"")</f>
        <v/>
      </c>
      <c r="K58" s="650"/>
      <c r="L58" s="651"/>
      <c r="M58" s="651"/>
      <c r="N58" s="631" t="str">
        <f t="shared" si="12"/>
        <v/>
      </c>
      <c r="O58" s="652"/>
      <c r="P58" s="651"/>
      <c r="Q58" s="631" t="str">
        <f t="shared" si="13"/>
        <v/>
      </c>
      <c r="R58" s="653"/>
      <c r="S58" s="497"/>
      <c r="T58" s="497"/>
      <c r="U58" s="654"/>
      <c r="V58" s="634" t="str">
        <f>IF(R58="","",IFERROR(R58*INDEX(Assumptions!$D$6:$D$22,MATCH('Input-EWEMs'!R$11,Assumptions!$C$6:$C$22,0))/1000,""))</f>
        <v/>
      </c>
      <c r="W58" s="635" t="str">
        <f>IF(S58="","",IFERROR(S58*INDEX(Assumptions!$D$6:$D$22,MATCH('Input-EWEMs'!S$11,Assumptions!$C$6:$C$22,0))/1000,""))</f>
        <v/>
      </c>
      <c r="X58" s="636" t="str">
        <f>IF(T58="","",IFERROR(T58*INDEX(Assumptions!$D$6:$D$22,MATCH('Input-EWEMs'!T$11,Assumptions!$C$6:$C$22,0))/1000,""))</f>
        <v/>
      </c>
      <c r="Y58" s="634" t="str">
        <f>IF(V58="","",IFERROR(V58*INDEX(Assumptions!$E$6:$E$22,MATCH('Input-EWEMs'!Y$10,Assumptions!$B$6:$B$22,0)),""))</f>
        <v/>
      </c>
      <c r="Z58" s="635" t="str">
        <f>IF(W58="","",IFERROR(W58*INDEX(Assumptions!$E$6:$E$22,MATCH('Input-EWEMs'!Z$10,Assumptions!$B$6:$B$22,0)),""))</f>
        <v/>
      </c>
      <c r="AA58" s="636" t="str">
        <f>IF(X58="","",IFERROR(X58*INDEX(Assumptions!$E$6:$E$22,MATCH('Input-EWEMs'!AA$10,Assumptions!$B$6:$B$22,0)),""))</f>
        <v/>
      </c>
      <c r="AB58" s="637">
        <f t="shared" si="14"/>
        <v>0</v>
      </c>
      <c r="AC58" s="635">
        <f t="shared" si="15"/>
        <v>0</v>
      </c>
      <c r="AD58" s="704" t="str">
        <f>IF(U58="","",IFERROR(U58*INDEX(Assumptions!$D$24:$D$27,MATCH('Input-EWEMs'!U$11,Assumptions!$C$24:$C$27,0))/1000,""))</f>
        <v/>
      </c>
      <c r="AE58" s="705">
        <f>IFERROR(R58*INDEX(Assumptions!$H$6:$H$22,MATCH('Input-EWEMs'!R$11,Assumptions!$C$6:$C$22,0)),0)+IFERROR(S58*INDEX(Assumptions!$H$6:$H$22,MATCH('Input-EWEMs'!S$11,Assumptions!$C$6:$C$22,0)),0)+IFERROR(T58*INDEX(Assumptions!$H$6:$H$22,MATCH('Input-EWEMs'!T$11,Assumptions!$C$6:$C$22,0)),0)</f>
        <v>0</v>
      </c>
      <c r="AF58" s="640" t="str">
        <f>IFERROR(IF(D58="","",SUM(Y58:AA58)/'Input-Utilities'!$L$14),"")</f>
        <v/>
      </c>
      <c r="AG58" s="641" t="str">
        <f>IFERROR(IF(D58="","",U58/'Input-Utilities'!$J$13),"")</f>
        <v/>
      </c>
      <c r="AH58" s="642" t="str">
        <f>IFERROR(IF($D58="","",IF(INDEX('Reference-MeasureList EULs'!D:D, MATCH('Input-EWEMs'!E58,'Reference-MeasureList EULs'!C:C,0))=0,"",INDEX('Reference-MeasureList EULs'!D:D, MATCH('Input-EWEMs'!E58,'Reference-MeasureList EULs'!C:C,0)))),"")</f>
        <v/>
      </c>
    </row>
    <row r="59" spans="3:34">
      <c r="C59" s="700"/>
      <c r="D59" s="701" t="str">
        <f>IFERROR(INDEX('Input-EWEMs'!D$12:D$41, MATCH($C59, 'Input-EWEMs'!$C$12:$C$41, 0)),"")</f>
        <v/>
      </c>
      <c r="E59" s="702" t="str">
        <f>IFERROR(INDEX('Input-EWEMs'!E$12:E$41, MATCH($C59, 'Input-EWEMs'!$C$12:$C$41, 0)),"")</f>
        <v/>
      </c>
      <c r="F59" s="645"/>
      <c r="G59" s="625"/>
      <c r="H59" s="648"/>
      <c r="I59" s="649"/>
      <c r="J59" s="628" t="str">
        <f>IFERROR(IF(I59=0,"",I59/'Input-Property'!$D$42),"")</f>
        <v/>
      </c>
      <c r="K59" s="650"/>
      <c r="L59" s="651"/>
      <c r="M59" s="651"/>
      <c r="N59" s="631" t="str">
        <f t="shared" si="12"/>
        <v/>
      </c>
      <c r="O59" s="652"/>
      <c r="P59" s="651"/>
      <c r="Q59" s="631" t="str">
        <f t="shared" si="13"/>
        <v/>
      </c>
      <c r="R59" s="653"/>
      <c r="S59" s="497"/>
      <c r="T59" s="497"/>
      <c r="U59" s="654"/>
      <c r="V59" s="634" t="str">
        <f>IF(R59="","",IFERROR(R59*INDEX(Assumptions!$D$6:$D$22,MATCH('Input-EWEMs'!R$11,Assumptions!$C$6:$C$22,0))/1000,""))</f>
        <v/>
      </c>
      <c r="W59" s="635" t="str">
        <f>IF(S59="","",IFERROR(S59*INDEX(Assumptions!$D$6:$D$22,MATCH('Input-EWEMs'!S$11,Assumptions!$C$6:$C$22,0))/1000,""))</f>
        <v/>
      </c>
      <c r="X59" s="636" t="str">
        <f>IF(T59="","",IFERROR(T59*INDEX(Assumptions!$D$6:$D$22,MATCH('Input-EWEMs'!T$11,Assumptions!$C$6:$C$22,0))/1000,""))</f>
        <v/>
      </c>
      <c r="Y59" s="634" t="str">
        <f>IF(V59="","",IFERROR(V59*INDEX(Assumptions!$E$6:$E$22,MATCH('Input-EWEMs'!Y$10,Assumptions!$B$6:$B$22,0)),""))</f>
        <v/>
      </c>
      <c r="Z59" s="635" t="str">
        <f>IF(W59="","",IFERROR(W59*INDEX(Assumptions!$E$6:$E$22,MATCH('Input-EWEMs'!Z$10,Assumptions!$B$6:$B$22,0)),""))</f>
        <v/>
      </c>
      <c r="AA59" s="636" t="str">
        <f>IF(X59="","",IFERROR(X59*INDEX(Assumptions!$E$6:$E$22,MATCH('Input-EWEMs'!AA$10,Assumptions!$B$6:$B$22,0)),""))</f>
        <v/>
      </c>
      <c r="AB59" s="637">
        <f t="shared" si="14"/>
        <v>0</v>
      </c>
      <c r="AC59" s="635">
        <f t="shared" si="15"/>
        <v>0</v>
      </c>
      <c r="AD59" s="704" t="str">
        <f>IF(U59="","",IFERROR(U59*INDEX(Assumptions!$D$24:$D$27,MATCH('Input-EWEMs'!U$11,Assumptions!$C$24:$C$27,0))/1000,""))</f>
        <v/>
      </c>
      <c r="AE59" s="705">
        <f>IFERROR(R59*INDEX(Assumptions!$H$6:$H$22,MATCH('Input-EWEMs'!R$11,Assumptions!$C$6:$C$22,0)),0)+IFERROR(S59*INDEX(Assumptions!$H$6:$H$22,MATCH('Input-EWEMs'!S$11,Assumptions!$C$6:$C$22,0)),0)+IFERROR(T59*INDEX(Assumptions!$H$6:$H$22,MATCH('Input-EWEMs'!T$11,Assumptions!$C$6:$C$22,0)),0)</f>
        <v>0</v>
      </c>
      <c r="AF59" s="640" t="str">
        <f>IFERROR(IF(D59="","",SUM(Y59:AA59)/'Input-Utilities'!$L$14),"")</f>
        <v/>
      </c>
      <c r="AG59" s="641" t="str">
        <f>IFERROR(IF(D59="","",U59/'Input-Utilities'!$J$13),"")</f>
        <v/>
      </c>
      <c r="AH59" s="642" t="str">
        <f>IFERROR(IF($D59="","",IF(INDEX('Reference-MeasureList EULs'!D:D, MATCH('Input-EWEMs'!E59,'Reference-MeasureList EULs'!C:C,0))=0,"",INDEX('Reference-MeasureList EULs'!D:D, MATCH('Input-EWEMs'!E59,'Reference-MeasureList EULs'!C:C,0)))),"")</f>
        <v/>
      </c>
    </row>
    <row r="60" spans="3:34">
      <c r="C60" s="700"/>
      <c r="D60" s="701" t="str">
        <f>IFERROR(INDEX('Input-EWEMs'!D$12:D$41, MATCH($C60, 'Input-EWEMs'!$C$12:$C$41, 0)),"")</f>
        <v/>
      </c>
      <c r="E60" s="702" t="str">
        <f>IFERROR(INDEX('Input-EWEMs'!E$12:E$41, MATCH($C60, 'Input-EWEMs'!$C$12:$C$41, 0)),"")</f>
        <v/>
      </c>
      <c r="F60" s="645"/>
      <c r="G60" s="625"/>
      <c r="H60" s="648"/>
      <c r="I60" s="649"/>
      <c r="J60" s="628" t="str">
        <f>IFERROR(IF(I60=0,"",I60/'Input-Property'!$D$42),"")</f>
        <v/>
      </c>
      <c r="K60" s="650"/>
      <c r="L60" s="651"/>
      <c r="M60" s="651"/>
      <c r="N60" s="631" t="str">
        <f t="shared" si="12"/>
        <v/>
      </c>
      <c r="O60" s="652"/>
      <c r="P60" s="651"/>
      <c r="Q60" s="631" t="str">
        <f t="shared" si="13"/>
        <v/>
      </c>
      <c r="R60" s="653"/>
      <c r="S60" s="497"/>
      <c r="T60" s="497"/>
      <c r="U60" s="654"/>
      <c r="V60" s="634" t="str">
        <f>IF(R60="","",IFERROR(R60*INDEX(Assumptions!$D$6:$D$22,MATCH('Input-EWEMs'!R$11,Assumptions!$C$6:$C$22,0))/1000,""))</f>
        <v/>
      </c>
      <c r="W60" s="635" t="str">
        <f>IF(S60="","",IFERROR(S60*INDEX(Assumptions!$D$6:$D$22,MATCH('Input-EWEMs'!S$11,Assumptions!$C$6:$C$22,0))/1000,""))</f>
        <v/>
      </c>
      <c r="X60" s="636" t="str">
        <f>IF(T60="","",IFERROR(T60*INDEX(Assumptions!$D$6:$D$22,MATCH('Input-EWEMs'!T$11,Assumptions!$C$6:$C$22,0))/1000,""))</f>
        <v/>
      </c>
      <c r="Y60" s="634" t="str">
        <f>IF(V60="","",IFERROR(V60*INDEX(Assumptions!$E$6:$E$22,MATCH('Input-EWEMs'!Y$10,Assumptions!$B$6:$B$22,0)),""))</f>
        <v/>
      </c>
      <c r="Z60" s="635" t="str">
        <f>IF(W60="","",IFERROR(W60*INDEX(Assumptions!$E$6:$E$22,MATCH('Input-EWEMs'!Z$10,Assumptions!$B$6:$B$22,0)),""))</f>
        <v/>
      </c>
      <c r="AA60" s="636" t="str">
        <f>IF(X60="","",IFERROR(X60*INDEX(Assumptions!$E$6:$E$22,MATCH('Input-EWEMs'!AA$10,Assumptions!$B$6:$B$22,0)),""))</f>
        <v/>
      </c>
      <c r="AB60" s="637">
        <f t="shared" si="14"/>
        <v>0</v>
      </c>
      <c r="AC60" s="635">
        <f t="shared" si="15"/>
        <v>0</v>
      </c>
      <c r="AD60" s="704" t="str">
        <f>IF(U60="","",IFERROR(U60*INDEX(Assumptions!$D$24:$D$27,MATCH('Input-EWEMs'!U$11,Assumptions!$C$24:$C$27,0))/1000,""))</f>
        <v/>
      </c>
      <c r="AE60" s="705">
        <f>IFERROR(R60*INDEX(Assumptions!$H$6:$H$22,MATCH('Input-EWEMs'!R$11,Assumptions!$C$6:$C$22,0)),0)+IFERROR(S60*INDEX(Assumptions!$H$6:$H$22,MATCH('Input-EWEMs'!S$11,Assumptions!$C$6:$C$22,0)),0)+IFERROR(T60*INDEX(Assumptions!$H$6:$H$22,MATCH('Input-EWEMs'!T$11,Assumptions!$C$6:$C$22,0)),0)</f>
        <v>0</v>
      </c>
      <c r="AF60" s="640" t="str">
        <f>IFERROR(IF(D60="","",SUM(Y60:AA60)/'Input-Utilities'!$L$14),"")</f>
        <v/>
      </c>
      <c r="AG60" s="641" t="str">
        <f>IFERROR(IF(D60="","",U60/'Input-Utilities'!$J$13),"")</f>
        <v/>
      </c>
      <c r="AH60" s="642" t="str">
        <f>IFERROR(IF($D60="","",IF(INDEX('Reference-MeasureList EULs'!D:D, MATCH('Input-EWEMs'!E60,'Reference-MeasureList EULs'!C:C,0))=0,"",INDEX('Reference-MeasureList EULs'!D:D, MATCH('Input-EWEMs'!E60,'Reference-MeasureList EULs'!C:C,0)))),"")</f>
        <v/>
      </c>
    </row>
    <row r="61" spans="3:34">
      <c r="C61" s="706"/>
      <c r="D61" s="701" t="str">
        <f>IFERROR(INDEX('Input-EWEMs'!D$12:D$41, MATCH($C61, 'Input-EWEMs'!$C$12:$C$41, 0)),"")</f>
        <v/>
      </c>
      <c r="E61" s="702" t="str">
        <f>IFERROR(INDEX('Input-EWEMs'!E$12:E$41, MATCH($C61, 'Input-EWEMs'!$C$12:$C$41, 0)),"")</f>
        <v/>
      </c>
      <c r="F61" s="657"/>
      <c r="G61" s="659"/>
      <c r="H61" s="660"/>
      <c r="I61" s="661"/>
      <c r="J61" s="707" t="str">
        <f>IFERROR(IF(I61=0,"",I61/'Input-Property'!$D$42),"")</f>
        <v/>
      </c>
      <c r="K61" s="663"/>
      <c r="L61" s="664"/>
      <c r="M61" s="664"/>
      <c r="N61" s="631" t="str">
        <f t="shared" si="12"/>
        <v/>
      </c>
      <c r="O61" s="666"/>
      <c r="P61" s="664"/>
      <c r="Q61" s="631" t="str">
        <f t="shared" si="13"/>
        <v/>
      </c>
      <c r="R61" s="667"/>
      <c r="S61" s="668"/>
      <c r="T61" s="668"/>
      <c r="U61" s="669"/>
      <c r="V61" s="634" t="str">
        <f>IF(R61="","",IFERROR(R61*INDEX(Assumptions!$D$6:$D$22,MATCH('Input-EWEMs'!R$11,Assumptions!$C$6:$C$22,0))/1000,""))</f>
        <v/>
      </c>
      <c r="W61" s="635" t="str">
        <f>IF(S61="","",IFERROR(S61*INDEX(Assumptions!$D$6:$D$22,MATCH('Input-EWEMs'!S$11,Assumptions!$C$6:$C$22,0))/1000,""))</f>
        <v/>
      </c>
      <c r="X61" s="636" t="str">
        <f>IF(T61="","",IFERROR(T61*INDEX(Assumptions!$D$6:$D$22,MATCH('Input-EWEMs'!T$11,Assumptions!$C$6:$C$22,0))/1000,""))</f>
        <v/>
      </c>
      <c r="Y61" s="634" t="str">
        <f>IF(V61="","",IFERROR(V61*INDEX(Assumptions!$E$6:$E$22,MATCH('Input-EWEMs'!Y$10,Assumptions!$B$6:$B$22,0)),""))</f>
        <v/>
      </c>
      <c r="Z61" s="635" t="str">
        <f>IF(W61="","",IFERROR(W61*INDEX(Assumptions!$E$6:$E$22,MATCH('Input-EWEMs'!Z$10,Assumptions!$B$6:$B$22,0)),""))</f>
        <v/>
      </c>
      <c r="AA61" s="636" t="str">
        <f>IF(X61="","",IFERROR(X61*INDEX(Assumptions!$E$6:$E$22,MATCH('Input-EWEMs'!AA$10,Assumptions!$B$6:$B$22,0)),""))</f>
        <v/>
      </c>
      <c r="AB61" s="637">
        <f t="shared" si="14"/>
        <v>0</v>
      </c>
      <c r="AC61" s="635">
        <f t="shared" si="15"/>
        <v>0</v>
      </c>
      <c r="AD61" s="708" t="str">
        <f>IF(U61="","",IFERROR(U61*INDEX(Assumptions!$D$24:$D$27,MATCH('Input-EWEMs'!U$11,Assumptions!$C$24:$C$27,0))/1000,""))</f>
        <v/>
      </c>
      <c r="AE61" s="709">
        <f>IFERROR(R61*INDEX(Assumptions!$H$6:$H$22,MATCH('Input-EWEMs'!R$11,Assumptions!$C$6:$C$22,0)),0)+IFERROR(S61*INDEX(Assumptions!$H$6:$H$22,MATCH('Input-EWEMs'!S$11,Assumptions!$C$6:$C$22,0)),0)+IFERROR(T61*INDEX(Assumptions!$H$6:$H$22,MATCH('Input-EWEMs'!T$11,Assumptions!$C$6:$C$22,0)),0)</f>
        <v>0</v>
      </c>
      <c r="AF61" s="640" t="str">
        <f>IFERROR(IF(D61="","",SUM(Y61:AA61)/'Input-Utilities'!$L$14),"")</f>
        <v/>
      </c>
      <c r="AG61" s="710" t="str">
        <f>IFERROR(IF(D61="","",U61/'Input-Utilities'!$J$13),"")</f>
        <v/>
      </c>
      <c r="AH61" s="642" t="str">
        <f>IFERROR(IF($D61="","",IF(INDEX('Reference-MeasureList EULs'!D:D, MATCH('Input-EWEMs'!E61,'Reference-MeasureList EULs'!C:C,0))=0,"",INDEX('Reference-MeasureList EULs'!D:D, MATCH('Input-EWEMs'!E61,'Reference-MeasureList EULs'!C:C,0)))),"")</f>
        <v/>
      </c>
    </row>
    <row r="62" spans="3:34">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row>
  </sheetData>
  <sheetProtection algorithmName="SHA-512" hashValue="8sXJfe9O6/8dDHRrKBh4x3MBvjn1/jvaf1ZGIViPGj9LWR0kdMCTv3sZWLD9Q8xrXsbvXJW6HFraPsLwTt7aNg==" saltValue="TOmnSKL8p15HoERIEA5xDA==" spinCount="100000" sheet="1" objects="1" scenarios="1"/>
  <mergeCells count="46">
    <mergeCell ref="B6:S6"/>
    <mergeCell ref="S9:S10"/>
    <mergeCell ref="R9:R10"/>
    <mergeCell ref="G9:G11"/>
    <mergeCell ref="R8:AG8"/>
    <mergeCell ref="I9:I11"/>
    <mergeCell ref="H9:H11"/>
    <mergeCell ref="F9:F11"/>
    <mergeCell ref="J9:J11"/>
    <mergeCell ref="K9:K10"/>
    <mergeCell ref="AG9:AG10"/>
    <mergeCell ref="AF9:AF10"/>
    <mergeCell ref="U9:U10"/>
    <mergeCell ref="K8:Q8"/>
    <mergeCell ref="D9:D11"/>
    <mergeCell ref="C9:C11"/>
    <mergeCell ref="J49:J51"/>
    <mergeCell ref="K49:K50"/>
    <mergeCell ref="R49:R50"/>
    <mergeCell ref="L49:N49"/>
    <mergeCell ref="AF49:AF50"/>
    <mergeCell ref="T49:T50"/>
    <mergeCell ref="U49:U50"/>
    <mergeCell ref="Y49:AA49"/>
    <mergeCell ref="E9:E11"/>
    <mergeCell ref="L9:N9"/>
    <mergeCell ref="O9:Q9"/>
    <mergeCell ref="S49:S50"/>
    <mergeCell ref="C46:T46"/>
    <mergeCell ref="T9:T10"/>
    <mergeCell ref="O49:Q49"/>
    <mergeCell ref="K48:Q48"/>
    <mergeCell ref="R48:AG48"/>
    <mergeCell ref="C49:C51"/>
    <mergeCell ref="D49:D51"/>
    <mergeCell ref="E49:E51"/>
    <mergeCell ref="F49:F51"/>
    <mergeCell ref="G49:G51"/>
    <mergeCell ref="H49:H51"/>
    <mergeCell ref="I49:I51"/>
    <mergeCell ref="V9:X9"/>
    <mergeCell ref="V49:X49"/>
    <mergeCell ref="AH9:AH10"/>
    <mergeCell ref="AH49:AH50"/>
    <mergeCell ref="AG49:AG50"/>
    <mergeCell ref="Y9:AA9"/>
  </mergeCells>
  <conditionalFormatting sqref="E12:G41 K12:M42 U12:U42 O12:P42 R12:R42">
    <cfRule type="expression" dxfId="7" priority="12">
      <formula>AND($D12&lt;&gt;"", E12="")</formula>
    </cfRule>
  </conditionalFormatting>
  <conditionalFormatting sqref="S52:T61 S12:T42">
    <cfRule type="expression" dxfId="6" priority="11">
      <formula>AND($D12&lt;&gt;"", S12="",S$9&lt;&gt;"n/a" )</formula>
    </cfRule>
  </conditionalFormatting>
  <conditionalFormatting sqref="I12:I41">
    <cfRule type="expression" dxfId="5" priority="10">
      <formula>AND(OR($G12="Apartments",$G12="Apts and comm area"), I12="")</formula>
    </cfRule>
  </conditionalFormatting>
  <conditionalFormatting sqref="K52:M61 U52:U61 O52:P61 R52:R61">
    <cfRule type="expression" dxfId="4" priority="9">
      <formula>AND($D52&lt;&gt;"", K52="")</formula>
    </cfRule>
  </conditionalFormatting>
  <conditionalFormatting sqref="I52:I61">
    <cfRule type="expression" dxfId="3" priority="7">
      <formula>AND(OR($G52="Apartments",$G52="Apts and comm area"), I52="")</formula>
    </cfRule>
  </conditionalFormatting>
  <conditionalFormatting sqref="F52:F61">
    <cfRule type="expression" dxfId="2" priority="6">
      <formula>AND($D52&lt;&gt;"", F52="")</formula>
    </cfRule>
  </conditionalFormatting>
  <conditionalFormatting sqref="G52:G61">
    <cfRule type="expression" dxfId="1" priority="5">
      <formula>AND($D52&lt;&gt;"", G52="")</formula>
    </cfRule>
  </conditionalFormatting>
  <conditionalFormatting sqref="AH52:AH61 AH12:AH41">
    <cfRule type="expression" dxfId="0" priority="1">
      <formula>AND(D12&lt;&gt;"",AH12="")</formula>
    </cfRule>
  </conditionalFormatting>
  <dataValidations count="5">
    <dataValidation type="list" allowBlank="1" showInputMessage="1" showErrorMessage="1" sqref="D12:D41">
      <formula1>measure_cats</formula1>
    </dataValidation>
    <dataValidation type="list" allowBlank="1" showInputMessage="1" showErrorMessage="1" sqref="E12:E41">
      <formula1>measures</formula1>
    </dataValidation>
    <dataValidation type="whole" allowBlank="1" showInputMessage="1" showErrorMessage="1" error="Quantity must be a whole number." sqref="H52:H61 H12:H41">
      <formula1>0</formula1>
      <formula2>100000</formula2>
    </dataValidation>
    <dataValidation type="decimal" operator="greaterThan" allowBlank="1" showInputMessage="1" showErrorMessage="1" sqref="R12:U41 K12:M41 R52:U61 K52:M61 O52:P61 O12:P41">
      <formula1>-1000000</formula1>
    </dataValidation>
    <dataValidation type="decimal" operator="greaterThanOrEqual" allowBlank="1" showInputMessage="1" showErrorMessage="1" sqref="AH52:AH61 AH12:AH41">
      <formula1>0</formula1>
    </dataValidation>
  </dataValidations>
  <pageMargins left="0.7" right="0.7" top="0.75" bottom="0.75" header="0.3" footer="0.3"/>
  <pageSetup paperSize="5" scale="84" orientation="landscape" r:id="rId1"/>
  <headerFooter>
    <oddFooter>&amp;L&amp;"Source Sans Pro,Regular"&amp;8© 2019 Fannie Mae. Trademarks of Fannie Mae.&amp;C&amp;"Source Sans Pro,Regular"&amp;8Form 4099.H - September 2019&amp;R&amp;"Source Sans Pro,Regular"&amp;8Page &amp;P of &amp;N</oddFooter>
  </headerFooter>
  <rowBreaks count="1" manualBreakCount="1">
    <brk id="4"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Dropdowns!$N$3:$N$5</xm:f>
          </x14:formula1>
          <xm:sqref>G52:G61 G12:G41</xm:sqref>
        </x14:dataValidation>
        <x14:dataValidation type="list" allowBlank="1" showInputMessage="1" showErrorMessage="1">
          <x14:formula1>
            <xm:f>Dropdowns!$M$3:$M$33</xm:f>
          </x14:formula1>
          <xm:sqref>C52:C61</xm:sqref>
        </x14:dataValidation>
        <x14:dataValidation type="whole" allowBlank="1" showInputMessage="1" showErrorMessage="1" error="Number of units must be a whole number and cannot be greater than the total number of units at the property.">
          <x14:formula1>
            <xm:f>0</xm:f>
          </x14:formula1>
          <x14:formula2>
            <xm:f>'Input-Property'!$D$42</xm:f>
          </x14:formula2>
          <xm:sqref>I52:I61 I12:I41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92"/>
  <sheetViews>
    <sheetView topLeftCell="A46" zoomScale="90" zoomScaleNormal="90" workbookViewId="0">
      <selection activeCell="B91" sqref="B91"/>
    </sheetView>
  </sheetViews>
  <sheetFormatPr defaultRowHeight="15"/>
  <cols>
    <col min="2" max="2" width="23.28515625" customWidth="1"/>
    <col min="3" max="3" width="18.7109375" customWidth="1"/>
    <col min="4" max="4" width="15.7109375" customWidth="1"/>
    <col min="5" max="5" width="14.28515625" customWidth="1"/>
    <col min="6" max="6" width="18.28515625" customWidth="1"/>
    <col min="7" max="7" width="15.7109375" customWidth="1"/>
    <col min="8" max="8" width="18" customWidth="1"/>
    <col min="9" max="9" width="18.7109375" customWidth="1"/>
    <col min="10" max="10" width="16.28515625" customWidth="1"/>
    <col min="11" max="11" width="52.5703125" customWidth="1"/>
    <col min="13" max="13" width="12.28515625" customWidth="1"/>
  </cols>
  <sheetData>
    <row r="1" spans="2:11" ht="23.25">
      <c r="B1" s="8" t="s">
        <v>31</v>
      </c>
      <c r="C1" s="1"/>
      <c r="D1" s="1"/>
      <c r="E1" s="141" t="s">
        <v>731</v>
      </c>
      <c r="F1" s="142"/>
      <c r="G1" s="141"/>
      <c r="H1" s="141"/>
      <c r="I1" s="1"/>
    </row>
    <row r="2" spans="2:11" ht="15.75" thickBot="1">
      <c r="B2" s="1"/>
      <c r="C2" s="1"/>
      <c r="D2" s="1"/>
      <c r="E2" s="1"/>
      <c r="F2" s="1"/>
      <c r="G2" s="1"/>
      <c r="H2" s="1"/>
      <c r="I2" s="1"/>
    </row>
    <row r="3" spans="2:11" ht="15.75" thickBot="1">
      <c r="B3" s="9" t="s">
        <v>33</v>
      </c>
      <c r="C3" s="9">
        <v>2.2046226199999999</v>
      </c>
      <c r="D3" s="1"/>
      <c r="E3" s="1"/>
      <c r="F3" s="1"/>
      <c r="G3" s="1"/>
      <c r="H3" s="1"/>
      <c r="I3" s="1"/>
    </row>
    <row r="4" spans="2:11" ht="15.75" thickBot="1">
      <c r="B4" s="1"/>
      <c r="C4" s="1"/>
      <c r="D4" s="1"/>
      <c r="E4" s="1"/>
      <c r="F4" s="1"/>
      <c r="G4" s="1"/>
      <c r="H4" s="1"/>
      <c r="I4" s="1"/>
    </row>
    <row r="5" spans="2:11" s="6" customFormat="1" ht="45.75" thickBot="1">
      <c r="B5" s="22" t="s">
        <v>28</v>
      </c>
      <c r="C5" s="22" t="s">
        <v>583</v>
      </c>
      <c r="D5" s="10" t="s">
        <v>582</v>
      </c>
      <c r="E5" s="10" t="s">
        <v>41</v>
      </c>
      <c r="F5" s="10" t="s">
        <v>581</v>
      </c>
      <c r="G5" s="10" t="s">
        <v>42</v>
      </c>
      <c r="H5" s="10" t="s">
        <v>746</v>
      </c>
      <c r="I5" s="10" t="s">
        <v>43</v>
      </c>
      <c r="J5" s="11" t="s">
        <v>741</v>
      </c>
      <c r="K5" s="161" t="s">
        <v>448</v>
      </c>
    </row>
    <row r="6" spans="2:11" ht="15.75" thickBot="1">
      <c r="B6" s="94" t="s">
        <v>2</v>
      </c>
      <c r="C6" s="12" t="s">
        <v>21</v>
      </c>
      <c r="D6" s="13">
        <v>3412</v>
      </c>
      <c r="E6" s="179">
        <v>2.8</v>
      </c>
      <c r="F6" s="14">
        <f>D6*E6</f>
        <v>9553.5999999999985</v>
      </c>
      <c r="G6" s="15" t="s">
        <v>748</v>
      </c>
      <c r="H6" s="160">
        <f>J6*$C$3*D6/1000000</f>
        <v>1.5088725575918696</v>
      </c>
      <c r="I6" s="15">
        <v>3.1</v>
      </c>
      <c r="J6" s="181">
        <v>200.59</v>
      </c>
      <c r="K6" s="162" t="s">
        <v>750</v>
      </c>
    </row>
    <row r="7" spans="2:11">
      <c r="B7" s="95" t="s">
        <v>0</v>
      </c>
      <c r="C7" s="7" t="s">
        <v>72</v>
      </c>
      <c r="D7" s="18">
        <v>100000</v>
      </c>
      <c r="E7" s="19">
        <v>1.05</v>
      </c>
      <c r="F7" s="19">
        <f>D7*E7</f>
        <v>105000</v>
      </c>
      <c r="G7" s="20" t="s">
        <v>748</v>
      </c>
      <c r="H7" s="156">
        <f>J7*$C$3*D7/1000000</f>
        <v>11.708750734819999</v>
      </c>
      <c r="I7" s="20">
        <v>3.2</v>
      </c>
      <c r="J7" s="21">
        <v>53.11</v>
      </c>
      <c r="K7" s="163"/>
    </row>
    <row r="8" spans="2:11">
      <c r="B8" s="96" t="s">
        <v>0</v>
      </c>
      <c r="C8" s="143" t="s">
        <v>34</v>
      </c>
      <c r="D8" s="144">
        <v>1026</v>
      </c>
      <c r="E8" s="145">
        <v>1.05</v>
      </c>
      <c r="F8" s="145">
        <f>D8*E8</f>
        <v>1077.3</v>
      </c>
      <c r="G8" s="146" t="s">
        <v>748</v>
      </c>
      <c r="H8" s="157">
        <f t="shared" ref="H8:H22" si="0">J8*$C$3*D8/1000000</f>
        <v>0.12013178253925319</v>
      </c>
      <c r="I8" s="146">
        <v>3.2</v>
      </c>
      <c r="J8" s="147">
        <v>53.11</v>
      </c>
      <c r="K8" s="164"/>
    </row>
    <row r="9" spans="2:11">
      <c r="B9" s="96" t="s">
        <v>0</v>
      </c>
      <c r="C9" s="7" t="s">
        <v>106</v>
      </c>
      <c r="D9" s="18">
        <v>102600</v>
      </c>
      <c r="E9" s="19">
        <v>1.05</v>
      </c>
      <c r="F9" s="19">
        <f t="shared" ref="F9:F12" si="1">D9*E9</f>
        <v>107730</v>
      </c>
      <c r="G9" s="20" t="s">
        <v>748</v>
      </c>
      <c r="H9" s="156">
        <f t="shared" si="0"/>
        <v>12.01317825392532</v>
      </c>
      <c r="I9" s="20">
        <v>3.2</v>
      </c>
      <c r="J9" s="21">
        <v>53.11</v>
      </c>
      <c r="K9" s="163"/>
    </row>
    <row r="10" spans="2:11">
      <c r="B10" s="96" t="s">
        <v>0</v>
      </c>
      <c r="C10" s="143" t="s">
        <v>35</v>
      </c>
      <c r="D10" s="144">
        <v>1026000</v>
      </c>
      <c r="E10" s="145">
        <v>1.05</v>
      </c>
      <c r="F10" s="145">
        <f t="shared" si="1"/>
        <v>1077300</v>
      </c>
      <c r="G10" s="146" t="s">
        <v>748</v>
      </c>
      <c r="H10" s="157">
        <f t="shared" si="0"/>
        <v>120.13178253925319</v>
      </c>
      <c r="I10" s="146">
        <v>3.2</v>
      </c>
      <c r="J10" s="147">
        <v>53.11</v>
      </c>
      <c r="K10" s="164"/>
    </row>
    <row r="11" spans="2:11">
      <c r="B11" s="96" t="s">
        <v>0</v>
      </c>
      <c r="C11" s="143" t="s">
        <v>36</v>
      </c>
      <c r="D11" s="144">
        <v>1000</v>
      </c>
      <c r="E11" s="145">
        <v>1.05</v>
      </c>
      <c r="F11" s="145">
        <f t="shared" si="1"/>
        <v>1050</v>
      </c>
      <c r="G11" s="146" t="s">
        <v>748</v>
      </c>
      <c r="H11" s="157">
        <f t="shared" si="0"/>
        <v>0.11708750734819999</v>
      </c>
      <c r="I11" s="146">
        <v>3.2</v>
      </c>
      <c r="J11" s="147">
        <v>53.11</v>
      </c>
      <c r="K11" s="164"/>
    </row>
    <row r="12" spans="2:11" ht="15.75" thickBot="1">
      <c r="B12" s="96" t="s">
        <v>0</v>
      </c>
      <c r="C12" s="148" t="s">
        <v>37</v>
      </c>
      <c r="D12" s="149">
        <v>1000000</v>
      </c>
      <c r="E12" s="150">
        <v>1.05</v>
      </c>
      <c r="F12" s="150">
        <f t="shared" si="1"/>
        <v>1050000</v>
      </c>
      <c r="G12" s="151" t="s">
        <v>748</v>
      </c>
      <c r="H12" s="158">
        <f t="shared" si="0"/>
        <v>117.08750734819999</v>
      </c>
      <c r="I12" s="151">
        <v>3.2</v>
      </c>
      <c r="J12" s="152">
        <v>53.11</v>
      </c>
      <c r="K12" s="165"/>
    </row>
    <row r="13" spans="2:11">
      <c r="B13" s="95" t="s">
        <v>722</v>
      </c>
      <c r="C13" s="7" t="s">
        <v>8</v>
      </c>
      <c r="D13" s="18">
        <v>138000</v>
      </c>
      <c r="E13" s="19">
        <v>1.01</v>
      </c>
      <c r="F13" s="18">
        <f>D13*E13</f>
        <v>139380</v>
      </c>
      <c r="G13" s="20" t="s">
        <v>748</v>
      </c>
      <c r="H13" s="156">
        <f t="shared" si="0"/>
        <v>22.577496158967598</v>
      </c>
      <c r="I13" s="20">
        <v>3.2</v>
      </c>
      <c r="J13" s="21">
        <v>74.209999999999994</v>
      </c>
      <c r="K13" s="163"/>
    </row>
    <row r="14" spans="2:11">
      <c r="B14" s="96" t="s">
        <v>723</v>
      </c>
      <c r="C14" s="7" t="s">
        <v>9</v>
      </c>
      <c r="D14" s="18">
        <v>146000</v>
      </c>
      <c r="E14" s="19">
        <v>1.01</v>
      </c>
      <c r="F14" s="18">
        <f t="shared" ref="F14:F20" si="2">D14*E14</f>
        <v>147460</v>
      </c>
      <c r="G14" s="20" t="s">
        <v>748</v>
      </c>
      <c r="H14" s="156">
        <f t="shared" si="0"/>
        <v>24.233961410730799</v>
      </c>
      <c r="I14" s="20">
        <v>3.2</v>
      </c>
      <c r="J14" s="21">
        <v>75.290000000000006</v>
      </c>
      <c r="K14" s="163"/>
    </row>
    <row r="15" spans="2:11" ht="15.75" thickBot="1">
      <c r="B15" s="96" t="s">
        <v>724</v>
      </c>
      <c r="C15" s="167" t="s">
        <v>10</v>
      </c>
      <c r="D15" s="13">
        <v>150000</v>
      </c>
      <c r="E15" s="14">
        <v>1.01</v>
      </c>
      <c r="F15" s="13">
        <f>D15*E15</f>
        <v>151500</v>
      </c>
      <c r="G15" s="15" t="s">
        <v>748</v>
      </c>
      <c r="H15" s="160">
        <f t="shared" si="0"/>
        <v>24.917747162549993</v>
      </c>
      <c r="I15" s="15">
        <v>3.2</v>
      </c>
      <c r="J15" s="16">
        <v>75.349999999999994</v>
      </c>
      <c r="K15" s="162"/>
    </row>
    <row r="16" spans="2:11">
      <c r="B16" s="95" t="s">
        <v>12</v>
      </c>
      <c r="C16" s="7" t="s">
        <v>11</v>
      </c>
      <c r="D16" s="18">
        <v>92000</v>
      </c>
      <c r="E16" s="19">
        <v>1.01</v>
      </c>
      <c r="F16" s="19">
        <f t="shared" si="2"/>
        <v>92920</v>
      </c>
      <c r="G16" s="20" t="s">
        <v>748</v>
      </c>
      <c r="H16" s="156">
        <f t="shared" si="0"/>
        <v>13.03152430682</v>
      </c>
      <c r="I16" s="20">
        <v>3.2</v>
      </c>
      <c r="J16" s="21">
        <v>64.25</v>
      </c>
      <c r="K16" s="163"/>
    </row>
    <row r="17" spans="1:11">
      <c r="B17" s="96" t="s">
        <v>12</v>
      </c>
      <c r="C17" s="143" t="s">
        <v>34</v>
      </c>
      <c r="D17" s="145">
        <v>2516</v>
      </c>
      <c r="E17" s="145">
        <v>1.01</v>
      </c>
      <c r="F17" s="145">
        <f t="shared" si="2"/>
        <v>2541.16</v>
      </c>
      <c r="G17" s="146" t="s">
        <v>748</v>
      </c>
      <c r="H17" s="157">
        <f t="shared" si="0"/>
        <v>0.35638386039086001</v>
      </c>
      <c r="I17" s="146">
        <v>3.2</v>
      </c>
      <c r="J17" s="147">
        <v>64.25</v>
      </c>
      <c r="K17" s="164"/>
    </row>
    <row r="18" spans="1:11">
      <c r="B18" s="96" t="s">
        <v>12</v>
      </c>
      <c r="C18" s="17" t="s">
        <v>744</v>
      </c>
      <c r="D18" s="18">
        <v>251600</v>
      </c>
      <c r="E18" s="19">
        <v>1.01</v>
      </c>
      <c r="F18" s="19">
        <f t="shared" si="2"/>
        <v>254116</v>
      </c>
      <c r="G18" s="20" t="s">
        <v>748</v>
      </c>
      <c r="H18" s="156">
        <f t="shared" si="0"/>
        <v>35.638386039086001</v>
      </c>
      <c r="I18" s="20">
        <v>3.2</v>
      </c>
      <c r="J18" s="21">
        <v>64.25</v>
      </c>
      <c r="K18" s="163"/>
    </row>
    <row r="19" spans="1:11">
      <c r="B19" s="96" t="s">
        <v>12</v>
      </c>
      <c r="C19" s="143" t="s">
        <v>35</v>
      </c>
      <c r="D19" s="144">
        <v>2516000</v>
      </c>
      <c r="E19" s="145">
        <v>1.01</v>
      </c>
      <c r="F19" s="145">
        <f t="shared" si="2"/>
        <v>2541160</v>
      </c>
      <c r="G19" s="146" t="s">
        <v>748</v>
      </c>
      <c r="H19" s="157">
        <f t="shared" si="0"/>
        <v>356.38386039085998</v>
      </c>
      <c r="I19" s="146">
        <v>3.2</v>
      </c>
      <c r="J19" s="147">
        <v>64.25</v>
      </c>
      <c r="K19" s="164"/>
    </row>
    <row r="20" spans="1:11">
      <c r="B20" s="96" t="s">
        <v>12</v>
      </c>
      <c r="C20" s="143" t="s">
        <v>36</v>
      </c>
      <c r="D20" s="144">
        <v>1000</v>
      </c>
      <c r="E20" s="145">
        <v>1.01</v>
      </c>
      <c r="F20" s="145">
        <f t="shared" si="2"/>
        <v>1010</v>
      </c>
      <c r="G20" s="146" t="s">
        <v>748</v>
      </c>
      <c r="H20" s="157">
        <f t="shared" si="0"/>
        <v>0.14164700333499999</v>
      </c>
      <c r="I20" s="146">
        <v>3.2</v>
      </c>
      <c r="J20" s="147">
        <v>64.25</v>
      </c>
      <c r="K20" s="164"/>
    </row>
    <row r="21" spans="1:11" ht="15.75" thickBot="1">
      <c r="B21" s="96" t="s">
        <v>12</v>
      </c>
      <c r="C21" s="148" t="s">
        <v>37</v>
      </c>
      <c r="D21" s="149">
        <v>1000000</v>
      </c>
      <c r="E21" s="150">
        <v>1.01</v>
      </c>
      <c r="F21" s="150"/>
      <c r="G21" s="151" t="s">
        <v>748</v>
      </c>
      <c r="H21" s="158">
        <f t="shared" si="0"/>
        <v>141.64700333500002</v>
      </c>
      <c r="I21" s="151">
        <v>3.2</v>
      </c>
      <c r="J21" s="152">
        <v>64.25</v>
      </c>
      <c r="K21" s="165"/>
    </row>
    <row r="22" spans="1:11" ht="15.75" thickBot="1">
      <c r="B22" s="95" t="s">
        <v>232</v>
      </c>
      <c r="C22" s="98" t="s">
        <v>233</v>
      </c>
      <c r="D22" s="99">
        <v>1194000</v>
      </c>
      <c r="E22" s="100">
        <v>1.2</v>
      </c>
      <c r="F22" s="100">
        <f>D22*E22</f>
        <v>1432800</v>
      </c>
      <c r="G22" s="101" t="s">
        <v>748</v>
      </c>
      <c r="H22" s="159">
        <f t="shared" si="0"/>
        <v>174.78600870979199</v>
      </c>
      <c r="I22" s="101">
        <v>3.3</v>
      </c>
      <c r="J22" s="102">
        <v>66.400000000000006</v>
      </c>
      <c r="K22" s="166" t="s">
        <v>747</v>
      </c>
    </row>
    <row r="23" spans="1:11">
      <c r="B23" s="95"/>
      <c r="C23" s="17"/>
      <c r="D23" s="55" t="s">
        <v>38</v>
      </c>
      <c r="E23" s="20"/>
      <c r="F23" s="20"/>
      <c r="G23" s="20"/>
      <c r="H23" s="20"/>
      <c r="I23" s="20"/>
      <c r="J23" s="21"/>
      <c r="K23" s="163"/>
    </row>
    <row r="24" spans="1:11">
      <c r="B24" s="96" t="s">
        <v>25</v>
      </c>
      <c r="C24" s="17" t="s">
        <v>14</v>
      </c>
      <c r="D24" s="20">
        <v>1</v>
      </c>
      <c r="E24" s="20"/>
      <c r="F24" s="20"/>
      <c r="G24" s="20"/>
      <c r="H24" s="23"/>
      <c r="I24" s="20"/>
      <c r="J24" s="21"/>
      <c r="K24" s="163"/>
    </row>
    <row r="25" spans="1:11">
      <c r="B25" s="96" t="s">
        <v>25</v>
      </c>
      <c r="C25" s="17" t="s">
        <v>15</v>
      </c>
      <c r="D25" s="18">
        <v>1000</v>
      </c>
      <c r="E25" s="18"/>
      <c r="F25" s="18"/>
      <c r="G25" s="20"/>
      <c r="H25" s="23"/>
      <c r="I25" s="20"/>
      <c r="J25" s="21"/>
      <c r="K25" s="163"/>
    </row>
    <row r="26" spans="1:11">
      <c r="B26" s="96" t="s">
        <v>25</v>
      </c>
      <c r="C26" s="17" t="s">
        <v>17</v>
      </c>
      <c r="D26" s="20">
        <v>7.4805000000000001</v>
      </c>
      <c r="E26" s="20"/>
      <c r="F26" s="20"/>
      <c r="G26" s="20"/>
      <c r="H26" s="23"/>
      <c r="I26" s="20"/>
      <c r="J26" s="21"/>
      <c r="K26" s="163"/>
    </row>
    <row r="27" spans="1:11">
      <c r="B27" s="96" t="s">
        <v>25</v>
      </c>
      <c r="C27" s="17" t="s">
        <v>16</v>
      </c>
      <c r="D27" s="20">
        <v>748.05</v>
      </c>
      <c r="E27" s="20"/>
      <c r="F27" s="20"/>
      <c r="G27" s="20"/>
      <c r="H27" s="23"/>
      <c r="I27" s="20"/>
      <c r="J27" s="21"/>
      <c r="K27" s="163"/>
    </row>
    <row r="28" spans="1:11" ht="15.75" thickBot="1">
      <c r="B28" s="97" t="s">
        <v>25</v>
      </c>
      <c r="C28" s="148" t="s">
        <v>35</v>
      </c>
      <c r="D28" s="155">
        <v>7480.5</v>
      </c>
      <c r="E28" s="150"/>
      <c r="F28" s="150"/>
      <c r="G28" s="151"/>
      <c r="H28" s="149"/>
      <c r="I28" s="151"/>
      <c r="J28" s="152"/>
      <c r="K28" s="165"/>
    </row>
    <row r="29" spans="1:11">
      <c r="B29" s="1"/>
      <c r="C29" s="1"/>
      <c r="D29" s="1"/>
      <c r="E29" s="1"/>
      <c r="F29" s="1"/>
      <c r="G29" s="1"/>
      <c r="H29" s="1"/>
      <c r="I29" s="1"/>
    </row>
    <row r="30" spans="1:11" ht="18.75">
      <c r="B30" s="25" t="s">
        <v>39</v>
      </c>
      <c r="C30" s="1"/>
      <c r="D30" s="1"/>
      <c r="E30" s="1"/>
      <c r="F30" s="1"/>
      <c r="G30" s="1"/>
      <c r="H30" s="1"/>
      <c r="I30" s="1"/>
    </row>
    <row r="31" spans="1:11">
      <c r="A31" s="103">
        <v>1</v>
      </c>
      <c r="B31" s="24" t="s">
        <v>749</v>
      </c>
      <c r="D31" s="153"/>
    </row>
    <row r="32" spans="1:11">
      <c r="A32" s="103">
        <v>2</v>
      </c>
      <c r="B32" s="180" t="s">
        <v>775</v>
      </c>
      <c r="D32" s="153"/>
    </row>
    <row r="33" spans="1:8">
      <c r="A33" s="103">
        <v>3</v>
      </c>
      <c r="B33" s="180" t="s">
        <v>776</v>
      </c>
      <c r="D33" s="153"/>
    </row>
    <row r="34" spans="1:8">
      <c r="B34" s="103">
        <v>3.1</v>
      </c>
      <c r="C34" t="s">
        <v>745</v>
      </c>
    </row>
    <row r="35" spans="1:8">
      <c r="B35" s="103">
        <v>3.2</v>
      </c>
      <c r="C35" t="s">
        <v>742</v>
      </c>
    </row>
    <row r="36" spans="1:8">
      <c r="B36" s="103">
        <v>3.3</v>
      </c>
      <c r="C36" s="154" t="s">
        <v>743</v>
      </c>
    </row>
    <row r="37" spans="1:8">
      <c r="B37" s="103"/>
      <c r="C37" s="154"/>
    </row>
    <row r="39" spans="1:8" s="29" customFormat="1" ht="12">
      <c r="B39" s="43" t="s">
        <v>87</v>
      </c>
      <c r="C39" s="44"/>
      <c r="D39" s="45"/>
      <c r="E39" s="45"/>
      <c r="F39" s="46"/>
      <c r="G39" s="46"/>
      <c r="H39" s="46"/>
    </row>
    <row r="40" spans="1:8" s="29" customFormat="1" ht="32.25" customHeight="1">
      <c r="B40" s="1030" t="s">
        <v>50</v>
      </c>
      <c r="C40" s="1031"/>
      <c r="D40" s="1031"/>
      <c r="E40" s="1028" t="s">
        <v>51</v>
      </c>
      <c r="F40" s="1029"/>
      <c r="G40" s="1028" t="s">
        <v>59</v>
      </c>
      <c r="H40" s="1029"/>
    </row>
    <row r="41" spans="1:8" s="29" customFormat="1" ht="12">
      <c r="B41" s="1032" t="s">
        <v>56</v>
      </c>
      <c r="C41" s="1033"/>
      <c r="D41" s="1034"/>
      <c r="E41" s="34">
        <v>1.6</v>
      </c>
      <c r="F41" s="35" t="s">
        <v>52</v>
      </c>
      <c r="G41" s="40">
        <v>5</v>
      </c>
      <c r="H41" s="35" t="s">
        <v>57</v>
      </c>
    </row>
    <row r="42" spans="1:8" s="29" customFormat="1" ht="12" customHeight="1">
      <c r="B42" s="1022" t="s">
        <v>291</v>
      </c>
      <c r="C42" s="1023"/>
      <c r="D42" s="1024"/>
      <c r="E42" s="36">
        <v>2.2000000000000002</v>
      </c>
      <c r="F42" s="37" t="s">
        <v>53</v>
      </c>
      <c r="G42" s="41">
        <v>5</v>
      </c>
      <c r="H42" s="37" t="s">
        <v>58</v>
      </c>
    </row>
    <row r="43" spans="1:8" s="29" customFormat="1" ht="12" customHeight="1">
      <c r="B43" s="1022" t="s">
        <v>54</v>
      </c>
      <c r="C43" s="1023"/>
      <c r="D43" s="1024"/>
      <c r="E43" s="36">
        <v>2.2000000000000002</v>
      </c>
      <c r="F43" s="37" t="s">
        <v>53</v>
      </c>
      <c r="G43" s="41">
        <v>4</v>
      </c>
      <c r="H43" s="37" t="s">
        <v>58</v>
      </c>
    </row>
    <row r="44" spans="1:8" s="29" customFormat="1" ht="12" customHeight="1">
      <c r="B44" s="1025" t="s">
        <v>55</v>
      </c>
      <c r="C44" s="1026"/>
      <c r="D44" s="1027"/>
      <c r="E44" s="38">
        <v>2.5</v>
      </c>
      <c r="F44" s="39" t="s">
        <v>53</v>
      </c>
      <c r="G44" s="42">
        <v>8</v>
      </c>
      <c r="H44" s="39" t="s">
        <v>58</v>
      </c>
    </row>
    <row r="45" spans="1:8" s="29" customFormat="1" ht="12"/>
    <row r="51" spans="2:6">
      <c r="B51" s="106" t="s">
        <v>608</v>
      </c>
      <c r="C51" s="105"/>
      <c r="E51" s="106" t="s">
        <v>757</v>
      </c>
      <c r="F51" s="105"/>
    </row>
    <row r="52" spans="2:6">
      <c r="B52" s="107" t="s">
        <v>606</v>
      </c>
      <c r="C52" s="110" t="s">
        <v>607</v>
      </c>
      <c r="E52" s="107" t="s">
        <v>606</v>
      </c>
      <c r="F52" s="110" t="s">
        <v>607</v>
      </c>
    </row>
    <row r="53" spans="2:6">
      <c r="B53" s="108">
        <f>'Lender Validation'!C41</f>
        <v>1</v>
      </c>
      <c r="C53" s="111" t="str">
        <f>IF('Input-EWEMs'!D12&lt;&gt;"", IF('Lender Validation'!B41&lt;&gt;"",TRUE,FALSE),"n/a")</f>
        <v>n/a</v>
      </c>
      <c r="E53" s="172">
        <f>'Check Errors'!C23</f>
        <v>1</v>
      </c>
      <c r="F53" s="111" t="str">
        <f ca="1">IF('Check Errors'!F23&lt;&gt;"", IF('Check Errors'!G23&lt;&gt;"",TRUE,FALSE),"n/a")</f>
        <v>n/a</v>
      </c>
    </row>
    <row r="54" spans="2:6">
      <c r="B54" s="109">
        <f>'Lender Validation'!C42</f>
        <v>2</v>
      </c>
      <c r="C54" s="111" t="str">
        <f>IF('Input-EWEMs'!D13&lt;&gt;"", IF('Lender Validation'!B42&lt;&gt;"",TRUE,FALSE),"n/a")</f>
        <v>n/a</v>
      </c>
      <c r="E54" s="173">
        <f>'Check Errors'!C24</f>
        <v>2</v>
      </c>
      <c r="F54" s="111" t="str">
        <f ca="1">IF('Check Errors'!F24&lt;&gt;"", IF('Check Errors'!G24&lt;&gt;"",TRUE,FALSE),"n/a")</f>
        <v>n/a</v>
      </c>
    </row>
    <row r="55" spans="2:6">
      <c r="B55" s="109">
        <f>'Lender Validation'!C43</f>
        <v>3</v>
      </c>
      <c r="C55" s="111" t="str">
        <f>IF('Input-EWEMs'!D14&lt;&gt;"", IF('Lender Validation'!B43&lt;&gt;"",TRUE,FALSE),"n/a")</f>
        <v>n/a</v>
      </c>
      <c r="E55" s="173">
        <f>'Check Errors'!C25</f>
        <v>3</v>
      </c>
      <c r="F55" s="111" t="str">
        <f ca="1">IF('Check Errors'!F25&lt;&gt;"", IF('Check Errors'!G25&lt;&gt;"",TRUE,FALSE),"n/a")</f>
        <v>n/a</v>
      </c>
    </row>
    <row r="56" spans="2:6">
      <c r="B56" s="109">
        <f>'Lender Validation'!C44</f>
        <v>4</v>
      </c>
      <c r="C56" s="111" t="str">
        <f>IF('Input-EWEMs'!D15&lt;&gt;"", IF('Lender Validation'!B44&lt;&gt;"",TRUE,FALSE),"n/a")</f>
        <v>n/a</v>
      </c>
      <c r="E56" s="173">
        <f>'Check Errors'!C26</f>
        <v>4</v>
      </c>
      <c r="F56" s="111" t="str">
        <f ca="1">IF('Check Errors'!F26&lt;&gt;"", IF('Check Errors'!G26&lt;&gt;"",TRUE,FALSE),"n/a")</f>
        <v>n/a</v>
      </c>
    </row>
    <row r="57" spans="2:6">
      <c r="B57" s="109">
        <f>'Lender Validation'!C45</f>
        <v>5</v>
      </c>
      <c r="C57" s="111" t="str">
        <f>IF('Input-EWEMs'!D16&lt;&gt;"", IF('Lender Validation'!B45&lt;&gt;"",TRUE,FALSE),"n/a")</f>
        <v>n/a</v>
      </c>
      <c r="E57" s="173">
        <f>'Check Errors'!C27</f>
        <v>5</v>
      </c>
      <c r="F57" s="111" t="str">
        <f ca="1">IF('Check Errors'!F27&lt;&gt;"", IF('Check Errors'!G27&lt;&gt;"",TRUE,FALSE),"n/a")</f>
        <v>n/a</v>
      </c>
    </row>
    <row r="58" spans="2:6">
      <c r="B58" s="109">
        <f>'Lender Validation'!C46</f>
        <v>6</v>
      </c>
      <c r="C58" s="111" t="str">
        <f>IF('Input-EWEMs'!D17&lt;&gt;"", IF('Lender Validation'!B46&lt;&gt;"",TRUE,FALSE),"n/a")</f>
        <v>n/a</v>
      </c>
      <c r="E58" s="173">
        <f>'Check Errors'!C28</f>
        <v>6</v>
      </c>
      <c r="F58" s="111" t="str">
        <f ca="1">IF('Check Errors'!F28&lt;&gt;"", IF('Check Errors'!G28&lt;&gt;"",TRUE,FALSE),"n/a")</f>
        <v>n/a</v>
      </c>
    </row>
    <row r="59" spans="2:6">
      <c r="B59" s="109">
        <f>'Lender Validation'!C47</f>
        <v>7</v>
      </c>
      <c r="C59" s="111" t="str">
        <f>IF('Input-EWEMs'!D18&lt;&gt;"", IF('Lender Validation'!B47&lt;&gt;"",TRUE,FALSE),"n/a")</f>
        <v>n/a</v>
      </c>
      <c r="E59" s="173">
        <f>'Check Errors'!C29</f>
        <v>7</v>
      </c>
      <c r="F59" s="111" t="str">
        <f ca="1">IF('Check Errors'!F29&lt;&gt;"", IF('Check Errors'!G29&lt;&gt;"",TRUE,FALSE),"n/a")</f>
        <v>n/a</v>
      </c>
    </row>
    <row r="60" spans="2:6">
      <c r="B60" s="109">
        <f>'Lender Validation'!C48</f>
        <v>8</v>
      </c>
      <c r="C60" s="111" t="str">
        <f>IF('Input-EWEMs'!D19&lt;&gt;"", IF('Lender Validation'!B48&lt;&gt;"",TRUE,FALSE),"n/a")</f>
        <v>n/a</v>
      </c>
      <c r="E60" s="173">
        <f>'Check Errors'!C30</f>
        <v>8</v>
      </c>
      <c r="F60" s="111" t="str">
        <f ca="1">IF('Check Errors'!F30&lt;&gt;"", IF('Check Errors'!G30&lt;&gt;"",TRUE,FALSE),"n/a")</f>
        <v>n/a</v>
      </c>
    </row>
    <row r="61" spans="2:6">
      <c r="B61" s="109">
        <f>'Lender Validation'!C49</f>
        <v>9</v>
      </c>
      <c r="C61" s="111" t="str">
        <f>IF('Input-EWEMs'!D20&lt;&gt;"", IF('Lender Validation'!B49&lt;&gt;"",TRUE,FALSE),"n/a")</f>
        <v>n/a</v>
      </c>
      <c r="E61" s="173">
        <f>'Check Errors'!C31</f>
        <v>9</v>
      </c>
      <c r="F61" s="111" t="str">
        <f ca="1">IF('Check Errors'!F31&lt;&gt;"", IF('Check Errors'!G31&lt;&gt;"",TRUE,FALSE),"n/a")</f>
        <v>n/a</v>
      </c>
    </row>
    <row r="62" spans="2:6">
      <c r="B62" s="109">
        <f>'Lender Validation'!C50</f>
        <v>10</v>
      </c>
      <c r="C62" s="111" t="str">
        <f>IF('Input-EWEMs'!D21&lt;&gt;"", IF('Lender Validation'!B50&lt;&gt;"",TRUE,FALSE),"n/a")</f>
        <v>n/a</v>
      </c>
      <c r="E62" s="173">
        <f>'Check Errors'!C32</f>
        <v>10</v>
      </c>
      <c r="F62" s="111" t="str">
        <f ca="1">IF('Check Errors'!F32&lt;&gt;"", IF('Check Errors'!G32&lt;&gt;"",TRUE,FALSE),"n/a")</f>
        <v>n/a</v>
      </c>
    </row>
    <row r="63" spans="2:6">
      <c r="B63" s="109">
        <f>'Lender Validation'!C51</f>
        <v>11</v>
      </c>
      <c r="C63" s="111" t="str">
        <f>IF('Input-EWEMs'!D22&lt;&gt;"", IF('Lender Validation'!B51&lt;&gt;"",TRUE,FALSE),"n/a")</f>
        <v>n/a</v>
      </c>
      <c r="E63" s="173">
        <f>'Check Errors'!C33</f>
        <v>11</v>
      </c>
      <c r="F63" s="111" t="str">
        <f ca="1">IF('Check Errors'!F33&lt;&gt;"", IF('Check Errors'!G33&lt;&gt;"",TRUE,FALSE),"n/a")</f>
        <v>n/a</v>
      </c>
    </row>
    <row r="64" spans="2:6">
      <c r="B64" s="109">
        <f>'Lender Validation'!C52</f>
        <v>12</v>
      </c>
      <c r="C64" s="111" t="str">
        <f>IF('Input-EWEMs'!D23&lt;&gt;"", IF('Lender Validation'!B52&lt;&gt;"",TRUE,FALSE),"n/a")</f>
        <v>n/a</v>
      </c>
      <c r="E64" s="173">
        <f>'Check Errors'!C34</f>
        <v>12</v>
      </c>
      <c r="F64" s="111" t="str">
        <f ca="1">IF('Check Errors'!F34&lt;&gt;"", IF('Check Errors'!G34&lt;&gt;"",TRUE,FALSE),"n/a")</f>
        <v>n/a</v>
      </c>
    </row>
    <row r="65" spans="2:6">
      <c r="B65" s="109">
        <f>'Lender Validation'!C53</f>
        <v>13</v>
      </c>
      <c r="C65" s="111" t="str">
        <f>IF('Input-EWEMs'!D24&lt;&gt;"", IF('Lender Validation'!B53&lt;&gt;"",TRUE,FALSE),"n/a")</f>
        <v>n/a</v>
      </c>
      <c r="E65" s="173">
        <f>'Check Errors'!C35</f>
        <v>13</v>
      </c>
      <c r="F65" s="111" t="str">
        <f ca="1">IF('Check Errors'!F35&lt;&gt;"", IF('Check Errors'!G35&lt;&gt;"",TRUE,FALSE),"n/a")</f>
        <v>n/a</v>
      </c>
    </row>
    <row r="66" spans="2:6">
      <c r="B66" s="109">
        <f>'Lender Validation'!C54</f>
        <v>14</v>
      </c>
      <c r="C66" s="111" t="str">
        <f>IF('Input-EWEMs'!D25&lt;&gt;"", IF('Lender Validation'!B54&lt;&gt;"",TRUE,FALSE),"n/a")</f>
        <v>n/a</v>
      </c>
      <c r="E66" s="173">
        <f>'Check Errors'!C36</f>
        <v>14</v>
      </c>
      <c r="F66" s="111" t="str">
        <f ca="1">IF('Check Errors'!F36&lt;&gt;"", IF('Check Errors'!G36&lt;&gt;"",TRUE,FALSE),"n/a")</f>
        <v>n/a</v>
      </c>
    </row>
    <row r="67" spans="2:6">
      <c r="B67" s="109">
        <f>'Lender Validation'!C55</f>
        <v>15</v>
      </c>
      <c r="C67" s="111" t="str">
        <f>IF('Input-EWEMs'!D26&lt;&gt;"", IF('Lender Validation'!B55&lt;&gt;"",TRUE,FALSE),"n/a")</f>
        <v>n/a</v>
      </c>
      <c r="E67" s="173">
        <f>'Check Errors'!C37</f>
        <v>15</v>
      </c>
      <c r="F67" s="111" t="str">
        <f ca="1">IF('Check Errors'!F37&lt;&gt;"", IF('Check Errors'!G37&lt;&gt;"",TRUE,FALSE),"n/a")</f>
        <v>n/a</v>
      </c>
    </row>
    <row r="68" spans="2:6">
      <c r="B68" s="109">
        <f>'Lender Validation'!C56</f>
        <v>16</v>
      </c>
      <c r="C68" s="111" t="str">
        <f>IF('Input-EWEMs'!D27&lt;&gt;"", IF('Lender Validation'!B56&lt;&gt;"",TRUE,FALSE),"n/a")</f>
        <v>n/a</v>
      </c>
      <c r="E68" s="173">
        <f>'Check Errors'!C38</f>
        <v>16</v>
      </c>
      <c r="F68" s="111" t="str">
        <f ca="1">IF('Check Errors'!F38&lt;&gt;"", IF('Check Errors'!G38&lt;&gt;"",TRUE,FALSE),"n/a")</f>
        <v>n/a</v>
      </c>
    </row>
    <row r="69" spans="2:6">
      <c r="B69" s="109">
        <f>'Lender Validation'!C57</f>
        <v>17</v>
      </c>
      <c r="C69" s="111" t="str">
        <f>IF('Input-EWEMs'!D28&lt;&gt;"", IF('Lender Validation'!B57&lt;&gt;"",TRUE,FALSE),"n/a")</f>
        <v>n/a</v>
      </c>
      <c r="E69" s="173">
        <f>'Check Errors'!C39</f>
        <v>17</v>
      </c>
      <c r="F69" s="111" t="str">
        <f ca="1">IF('Check Errors'!F39&lt;&gt;"", IF('Check Errors'!G39&lt;&gt;"",TRUE,FALSE),"n/a")</f>
        <v>n/a</v>
      </c>
    </row>
    <row r="70" spans="2:6">
      <c r="B70" s="109">
        <f>'Lender Validation'!C58</f>
        <v>18</v>
      </c>
      <c r="C70" s="111" t="str">
        <f>IF('Input-EWEMs'!D29&lt;&gt;"", IF('Lender Validation'!B58&lt;&gt;"",TRUE,FALSE),"n/a")</f>
        <v>n/a</v>
      </c>
      <c r="E70" s="173">
        <f>'Check Errors'!C40</f>
        <v>18</v>
      </c>
      <c r="F70" s="111" t="str">
        <f ca="1">IF('Check Errors'!F40&lt;&gt;"", IF('Check Errors'!G40&lt;&gt;"",TRUE,FALSE),"n/a")</f>
        <v>n/a</v>
      </c>
    </row>
    <row r="71" spans="2:6">
      <c r="B71" s="109">
        <f>'Lender Validation'!C59</f>
        <v>19</v>
      </c>
      <c r="C71" s="111" t="str">
        <f>IF('Input-EWEMs'!D30&lt;&gt;"", IF('Lender Validation'!B59&lt;&gt;"",TRUE,FALSE),"n/a")</f>
        <v>n/a</v>
      </c>
      <c r="E71" s="173">
        <f>'Check Errors'!C41</f>
        <v>19</v>
      </c>
      <c r="F71" s="111" t="str">
        <f ca="1">IF('Check Errors'!F41&lt;&gt;"", IF('Check Errors'!G41&lt;&gt;"",TRUE,FALSE),"n/a")</f>
        <v>n/a</v>
      </c>
    </row>
    <row r="72" spans="2:6">
      <c r="B72" s="109">
        <f>'Lender Validation'!C60</f>
        <v>20</v>
      </c>
      <c r="C72" s="111" t="str">
        <f>IF('Input-EWEMs'!D31&lt;&gt;"", IF('Lender Validation'!B60&lt;&gt;"",TRUE,FALSE),"n/a")</f>
        <v>n/a</v>
      </c>
      <c r="E72" s="173">
        <f>'Check Errors'!C42</f>
        <v>20</v>
      </c>
      <c r="F72" s="111" t="str">
        <f ca="1">IF('Check Errors'!F42&lt;&gt;"", IF('Check Errors'!G42&lt;&gt;"",TRUE,FALSE),"n/a")</f>
        <v>n/a</v>
      </c>
    </row>
    <row r="73" spans="2:6">
      <c r="B73" s="109">
        <f>'Lender Validation'!C61</f>
        <v>21</v>
      </c>
      <c r="C73" s="111" t="str">
        <f>IF('Input-EWEMs'!D32&lt;&gt;"", IF('Lender Validation'!B61&lt;&gt;"",TRUE,FALSE),"n/a")</f>
        <v>n/a</v>
      </c>
      <c r="E73" s="173">
        <f>'Check Errors'!C43</f>
        <v>21</v>
      </c>
      <c r="F73" s="111" t="str">
        <f ca="1">IF('Check Errors'!F43&lt;&gt;"", IF('Check Errors'!G43&lt;&gt;"",TRUE,FALSE),"n/a")</f>
        <v>n/a</v>
      </c>
    </row>
    <row r="74" spans="2:6">
      <c r="B74" s="109">
        <f>'Lender Validation'!C62</f>
        <v>22</v>
      </c>
      <c r="C74" s="111" t="str">
        <f>IF('Input-EWEMs'!D33&lt;&gt;"", IF('Lender Validation'!B62&lt;&gt;"",TRUE,FALSE),"n/a")</f>
        <v>n/a</v>
      </c>
      <c r="E74" s="173">
        <f>'Check Errors'!C44</f>
        <v>22</v>
      </c>
      <c r="F74" s="111" t="str">
        <f ca="1">IF('Check Errors'!F44&lt;&gt;"", IF('Check Errors'!G44&lt;&gt;"",TRUE,FALSE),"n/a")</f>
        <v>n/a</v>
      </c>
    </row>
    <row r="75" spans="2:6">
      <c r="B75" s="109">
        <f>'Lender Validation'!C63</f>
        <v>23</v>
      </c>
      <c r="C75" s="111" t="str">
        <f>IF('Input-EWEMs'!D34&lt;&gt;"", IF('Lender Validation'!B63&lt;&gt;"",TRUE,FALSE),"n/a")</f>
        <v>n/a</v>
      </c>
      <c r="E75" s="173">
        <f>'Check Errors'!C45</f>
        <v>23</v>
      </c>
      <c r="F75" s="111" t="str">
        <f ca="1">IF('Check Errors'!F45&lt;&gt;"", IF('Check Errors'!G45&lt;&gt;"",TRUE,FALSE),"n/a")</f>
        <v>n/a</v>
      </c>
    </row>
    <row r="76" spans="2:6">
      <c r="B76" s="109">
        <f>'Lender Validation'!C64</f>
        <v>24</v>
      </c>
      <c r="C76" s="111" t="str">
        <f>IF('Input-EWEMs'!D35&lt;&gt;"", IF('Lender Validation'!B64&lt;&gt;"",TRUE,FALSE),"n/a")</f>
        <v>n/a</v>
      </c>
      <c r="E76" s="173">
        <f>'Check Errors'!C46</f>
        <v>24</v>
      </c>
      <c r="F76" s="111" t="str">
        <f ca="1">IF('Check Errors'!F46&lt;&gt;"", IF('Check Errors'!G46&lt;&gt;"",TRUE,FALSE),"n/a")</f>
        <v>n/a</v>
      </c>
    </row>
    <row r="77" spans="2:6">
      <c r="B77" s="109">
        <f>'Lender Validation'!C65</f>
        <v>25</v>
      </c>
      <c r="C77" s="111" t="str">
        <f>IF('Input-EWEMs'!D36&lt;&gt;"", IF('Lender Validation'!B65&lt;&gt;"",TRUE,FALSE),"n/a")</f>
        <v>n/a</v>
      </c>
      <c r="E77" s="173">
        <f>'Check Errors'!C47</f>
        <v>25</v>
      </c>
      <c r="F77" s="111" t="str">
        <f ca="1">IF('Check Errors'!F47&lt;&gt;"", IF('Check Errors'!G47&lt;&gt;"",TRUE,FALSE),"n/a")</f>
        <v>n/a</v>
      </c>
    </row>
    <row r="78" spans="2:6">
      <c r="B78" s="109">
        <f>'Lender Validation'!C66</f>
        <v>26</v>
      </c>
      <c r="C78" s="111" t="str">
        <f>IF('Input-EWEMs'!D37&lt;&gt;"", IF('Lender Validation'!B66&lt;&gt;"",TRUE,FALSE),"n/a")</f>
        <v>n/a</v>
      </c>
      <c r="E78" s="173">
        <f>'Check Errors'!C48</f>
        <v>26</v>
      </c>
      <c r="F78" s="111" t="str">
        <f ca="1">IF('Check Errors'!F48&lt;&gt;"", IF('Check Errors'!G48&lt;&gt;"",TRUE,FALSE),"n/a")</f>
        <v>n/a</v>
      </c>
    </row>
    <row r="79" spans="2:6">
      <c r="B79" s="109">
        <f>'Lender Validation'!C67</f>
        <v>27</v>
      </c>
      <c r="C79" s="111" t="str">
        <f>IF('Input-EWEMs'!D38&lt;&gt;"", IF('Lender Validation'!B67&lt;&gt;"",TRUE,FALSE),"n/a")</f>
        <v>n/a</v>
      </c>
      <c r="E79" s="173">
        <f>'Check Errors'!C49</f>
        <v>27</v>
      </c>
      <c r="F79" s="111" t="str">
        <f ca="1">IF('Check Errors'!F49&lt;&gt;"", IF('Check Errors'!G49&lt;&gt;"",TRUE,FALSE),"n/a")</f>
        <v>n/a</v>
      </c>
    </row>
    <row r="80" spans="2:6">
      <c r="B80" s="109">
        <f>'Lender Validation'!C68</f>
        <v>28</v>
      </c>
      <c r="C80" s="111" t="str">
        <f>IF('Input-EWEMs'!D39&lt;&gt;"", IF('Lender Validation'!B68&lt;&gt;"",TRUE,FALSE),"n/a")</f>
        <v>n/a</v>
      </c>
      <c r="E80" s="173">
        <f>'Check Errors'!C50</f>
        <v>28</v>
      </c>
      <c r="F80" s="111" t="str">
        <f ca="1">IF('Check Errors'!F50&lt;&gt;"", IF('Check Errors'!G50&lt;&gt;"",TRUE,FALSE),"n/a")</f>
        <v>n/a</v>
      </c>
    </row>
    <row r="81" spans="2:6">
      <c r="B81" s="109">
        <f>'Lender Validation'!C69</f>
        <v>29</v>
      </c>
      <c r="C81" s="111" t="str">
        <f>IF('Input-EWEMs'!D40&lt;&gt;"", IF('Lender Validation'!B69&lt;&gt;"",TRUE,FALSE),"n/a")</f>
        <v>n/a</v>
      </c>
      <c r="E81" s="173">
        <f>'Check Errors'!C51</f>
        <v>29</v>
      </c>
      <c r="F81" s="111" t="str">
        <f ca="1">IF('Check Errors'!F51&lt;&gt;"", IF('Check Errors'!G51&lt;&gt;"",TRUE,FALSE),"n/a")</f>
        <v>n/a</v>
      </c>
    </row>
    <row r="82" spans="2:6">
      <c r="B82" s="109">
        <f>'Lender Validation'!C70</f>
        <v>30</v>
      </c>
      <c r="C82" s="111" t="str">
        <f>IF('Input-EWEMs'!D41&lt;&gt;"", IF('Lender Validation'!B70&lt;&gt;"",TRUE,FALSE),"n/a")</f>
        <v>n/a</v>
      </c>
      <c r="E82" s="173">
        <f>'Check Errors'!C52</f>
        <v>30</v>
      </c>
      <c r="F82" s="111" t="str">
        <f ca="1">IF('Check Errors'!F52&lt;&gt;"", IF('Check Errors'!G52&lt;&gt;"",TRUE,FALSE),"n/a")</f>
        <v>n/a</v>
      </c>
    </row>
    <row r="83" spans="2:6">
      <c r="B83" s="49"/>
      <c r="C83" s="49"/>
      <c r="E83" s="107" t="s">
        <v>266</v>
      </c>
      <c r="F83" s="110" t="s">
        <v>607</v>
      </c>
    </row>
    <row r="84" spans="2:6">
      <c r="E84" s="174" t="str">
        <f>'Check Errors'!E10</f>
        <v>Historical electricity cost and consumption</v>
      </c>
      <c r="F84" s="175" t="str">
        <f>IF('Check Errors'!F10&lt;&gt;"", IF('Check Errors'!G10&lt;&gt;"",TRUE,FALSE),"n/a")</f>
        <v>n/a</v>
      </c>
    </row>
    <row r="85" spans="2:6">
      <c r="B85" s="134" t="s">
        <v>685</v>
      </c>
      <c r="C85" s="135" t="s">
        <v>686</v>
      </c>
      <c r="E85" s="176" t="str">
        <f>'Check Errors'!E11</f>
        <v>Historical fuel cost and consumption</v>
      </c>
      <c r="F85" s="111" t="str">
        <f>IF('Check Errors'!F11&lt;&gt;"", IF('Check Errors'!G11&lt;&gt;"",TRUE,FALSE),"n/a")</f>
        <v>n/a</v>
      </c>
    </row>
    <row r="86" spans="2:6">
      <c r="B86" s="132">
        <f>'Input-Property'!D42</f>
        <v>0</v>
      </c>
      <c r="C86" s="133">
        <f>ROUND(IF('Input-Property'!D42&lt;20,3,IF('Input-Property'!D42&lt;50,5,IF('Input-Property'!D42&lt;100,'Input-Property'!D42*0.1,IF('Input-Property'!D42&lt;200,10,IF('Input-Property'!D42&lt;600,'Input-Property'!D42*0.05,30))))),0)</f>
        <v>3</v>
      </c>
      <c r="E86" s="176" t="str">
        <f>'Check Errors'!E12</f>
        <v>Historical water and sewer cost and consumption</v>
      </c>
      <c r="F86" s="111" t="str">
        <f>IF('Check Errors'!F12&lt;&gt;"", IF('Check Errors'!G12&lt;&gt;"",TRUE,FALSE),"n/a")</f>
        <v>n/a</v>
      </c>
    </row>
    <row r="87" spans="2:6">
      <c r="E87" s="176" t="str">
        <f>'Check Errors'!E13</f>
        <v>Tenant utility cost</v>
      </c>
      <c r="F87" s="111" t="str">
        <f>IF('Check Errors'!F13&lt;&gt;"", IF('Check Errors'!G13&lt;&gt;"",TRUE,FALSE),"n/a")</f>
        <v>n/a</v>
      </c>
    </row>
    <row r="88" spans="2:6">
      <c r="E88" s="176" t="str">
        <f>'Check Errors'!E14</f>
        <v>Tenant utility data and in-unit utilities</v>
      </c>
      <c r="F88" s="111" t="str">
        <f>IF('Check Errors'!F14&lt;&gt;"", IF('Check Errors'!G14&lt;&gt;"",TRUE,FALSE),"n/a")</f>
        <v>n/a</v>
      </c>
    </row>
    <row r="89" spans="2:6">
      <c r="E89" s="176" t="str">
        <f>'Check Errors'!E15</f>
        <v>Seasonal energy consumption breakdown</v>
      </c>
      <c r="F89" s="111" t="str">
        <f>IF('Check Errors'!F15&lt;&gt;"", IF('Check Errors'!G15&lt;&gt;"",TRUE,FALSE),"n/a")</f>
        <v>n/a</v>
      </c>
    </row>
    <row r="90" spans="2:6">
      <c r="E90" s="176" t="str">
        <f>'Check Errors'!E16</f>
        <v>Energy Star report</v>
      </c>
      <c r="F90" s="111" t="str">
        <f>IF('Check Errors'!F16&lt;&gt;"", IF('Check Errors'!G16&lt;&gt;"",TRUE,FALSE),"n/a")</f>
        <v>n/a</v>
      </c>
    </row>
    <row r="91" spans="2:6">
      <c r="E91" s="176" t="str">
        <f>'Check Errors'!E17</f>
        <v>Property water consumption model</v>
      </c>
      <c r="F91" s="111" t="str">
        <f>IF('Check Errors'!F17&lt;&gt;"", IF('Check Errors'!G17&lt;&gt;"",TRUE,FALSE),"n/a")</f>
        <v>n/a</v>
      </c>
    </row>
    <row r="92" spans="2:6">
      <c r="E92" s="177" t="str">
        <f>'Check Errors'!E18</f>
        <v>Total owner and tenant EWEM savings</v>
      </c>
      <c r="F92" s="112" t="str">
        <f>IF('Check Errors'!F18&lt;&gt;"", IF('Check Errors'!G18&lt;&gt;"",TRUE,FALSE),"n/a")</f>
        <v>n/a</v>
      </c>
    </row>
  </sheetData>
  <mergeCells count="7">
    <mergeCell ref="B43:D43"/>
    <mergeCell ref="B44:D44"/>
    <mergeCell ref="E40:F40"/>
    <mergeCell ref="G40:H40"/>
    <mergeCell ref="B40:D40"/>
    <mergeCell ref="B41:D41"/>
    <mergeCell ref="B42:D42"/>
  </mergeCells>
  <pageMargins left="0.7" right="0.7" top="0.75" bottom="0.75" header="0.3" footer="0.3"/>
  <pageSetup orientation="portrait" r:id="rId1"/>
  <headerFooter>
    <oddFooter>&amp;CConfidential - Internal Distribution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8"/>
  <sheetViews>
    <sheetView topLeftCell="H1" zoomScaleNormal="100" workbookViewId="0">
      <selection activeCell="T12" sqref="T12"/>
    </sheetView>
  </sheetViews>
  <sheetFormatPr defaultColWidth="9.28515625" defaultRowHeight="15"/>
  <cols>
    <col min="1" max="2" width="9.28515625" style="77"/>
    <col min="3" max="4" width="15" style="77" customWidth="1"/>
    <col min="5" max="5" width="22.5703125" style="77" customWidth="1"/>
    <col min="6" max="6" width="14.28515625" style="77" customWidth="1"/>
    <col min="7" max="7" width="26" style="77" customWidth="1"/>
    <col min="8" max="8" width="14.28515625" style="77" customWidth="1"/>
    <col min="9" max="14" width="9.28515625" style="77"/>
    <col min="15" max="15" width="10.7109375" style="77" customWidth="1"/>
    <col min="16" max="16384" width="9.28515625" style="77"/>
  </cols>
  <sheetData>
    <row r="1" spans="1:26" s="76" customFormat="1">
      <c r="A1" s="120" t="s">
        <v>387</v>
      </c>
      <c r="B1" s="120" t="s">
        <v>449</v>
      </c>
      <c r="C1" s="121" t="s">
        <v>194</v>
      </c>
      <c r="D1" s="120" t="s">
        <v>448</v>
      </c>
      <c r="E1" s="120" t="s">
        <v>450</v>
      </c>
      <c r="F1" s="122" t="s">
        <v>313</v>
      </c>
      <c r="G1" s="120" t="s">
        <v>451</v>
      </c>
      <c r="H1" s="122" t="s">
        <v>314</v>
      </c>
      <c r="I1" s="122" t="s">
        <v>363</v>
      </c>
      <c r="J1" s="114" t="s">
        <v>682</v>
      </c>
      <c r="K1" s="122" t="s">
        <v>388</v>
      </c>
      <c r="L1" s="122" t="s">
        <v>373</v>
      </c>
      <c r="M1" s="122" t="s">
        <v>431</v>
      </c>
      <c r="N1" s="122" t="s">
        <v>432</v>
      </c>
      <c r="O1" s="122" t="s">
        <v>372</v>
      </c>
      <c r="P1" s="122" t="s">
        <v>389</v>
      </c>
      <c r="Q1" s="122" t="s">
        <v>360</v>
      </c>
      <c r="R1" s="122" t="s">
        <v>759</v>
      </c>
      <c r="S1" s="122" t="s">
        <v>760</v>
      </c>
      <c r="T1" s="122" t="s">
        <v>761</v>
      </c>
      <c r="U1" s="114" t="s">
        <v>611</v>
      </c>
      <c r="V1" s="122" t="s">
        <v>485</v>
      </c>
      <c r="W1" s="113" t="s">
        <v>506</v>
      </c>
      <c r="X1" s="114" t="s">
        <v>507</v>
      </c>
      <c r="Y1" s="790" t="s">
        <v>829</v>
      </c>
      <c r="Z1" s="790" t="s">
        <v>830</v>
      </c>
    </row>
    <row r="2" spans="1:26">
      <c r="A2" s="123"/>
      <c r="B2" s="123"/>
      <c r="C2" s="124" t="str">
        <f>IF('Input-Property'!D8="", "", 'Input-Property'!D8)</f>
        <v/>
      </c>
      <c r="D2" s="124"/>
      <c r="E2" s="125"/>
      <c r="F2" s="123" t="str">
        <f>IF('Input-Property'!D10="", "", 'Input-Property'!D10)</f>
        <v/>
      </c>
      <c r="G2" s="123"/>
      <c r="H2" s="124" t="str">
        <f>IF('Lender Validation'!E11="", "", 'Lender Validation'!E11)</f>
        <v/>
      </c>
      <c r="I2" s="123" t="str">
        <f>IF('Lender Validation'!H11="", "", 'Lender Validation'!H11)</f>
        <v/>
      </c>
      <c r="J2" s="123" t="str">
        <f>IF('Input-Property'!D53="","",'Input-Property'!D53)</f>
        <v/>
      </c>
      <c r="K2" s="126" t="str">
        <f>IF('Input-Property'!D12="","",'Input-Property'!D12)</f>
        <v/>
      </c>
      <c r="L2" s="126" t="str">
        <f>IF('Input-Property'!D13="","",'Input-Property'!D13)</f>
        <v/>
      </c>
      <c r="M2" s="126" t="str">
        <f>IF('Input-Property'!D15="", "", 'Input-Property'!D15)</f>
        <v/>
      </c>
      <c r="N2" s="126" t="str">
        <f>IF('Input-Property'!D15="", "", MAX('Input-Property'!D15:D19))</f>
        <v/>
      </c>
      <c r="O2" s="125" t="str">
        <f>IF('Lender Validation'!H15="","",'Lender Validation'!H15)</f>
        <v/>
      </c>
      <c r="P2" s="124" t="str">
        <f>IF('Lender Validation'!E13="","",'Lender Validation'!E13)</f>
        <v/>
      </c>
      <c r="Q2" s="124" t="str">
        <f>IF('Lender Validation'!E15="","",'Lender Validation'!E15)</f>
        <v/>
      </c>
      <c r="R2" s="124">
        <f>IF('Lender Validation'!E30+'Lender Validation'!F30="","",ROUND('Lender Validation'!E30+'Lender Validation'!F30,0))</f>
        <v>0</v>
      </c>
      <c r="S2" s="124">
        <f>IF('Lender Validation'!E33+'Lender Validation'!F33="","",ROUND('Lender Validation'!E33+'Lender Validation'!F33,0))</f>
        <v>0</v>
      </c>
      <c r="T2" s="124">
        <f>IF('Lender Validation'!E35="","",ROUND('Lender Validation'!E35,0))</f>
        <v>0</v>
      </c>
      <c r="U2" s="124" t="str">
        <f>IF('Lender Validation'!J35="","",ROUND('Lender Validation'!J35,0))</f>
        <v/>
      </c>
      <c r="V2" s="127" t="s">
        <v>788</v>
      </c>
      <c r="W2" s="114" t="b">
        <f>AND('Lender Validation'!$E$19&gt;=0.1495, 'Lender Validation'!$E$21&gt;=0.2995)</f>
        <v>0</v>
      </c>
      <c r="X2" s="114" t="b">
        <f ca="1">IF(IF(H2="",1,0)+COUNTIF(O2:U2,"")+COUNTIF(Assumptions!C53:C82,FALSE)+COUNTIF(Assumptions!F53:F92,FALSE)=0,TRUE)</f>
        <v>0</v>
      </c>
      <c r="Y2" s="789">
        <f>'Lender Validation'!E34</f>
        <v>0</v>
      </c>
      <c r="Z2" s="789">
        <f>'Lender Validation'!F34</f>
        <v>0</v>
      </c>
    </row>
    <row r="3" spans="1:26">
      <c r="K3" s="77" t="str">
        <f>IF('Lender Validation'!E14="","",'Lender Validation'!E14)</f>
        <v/>
      </c>
    </row>
    <row r="5" spans="1:26">
      <c r="U5" s="178"/>
    </row>
    <row r="6" spans="1:26">
      <c r="U6" s="78"/>
    </row>
    <row r="7" spans="1:26">
      <c r="K7" s="77" t="str">
        <f>IF('Lender Validation'!E17="","",'Lender Validation'!E17)</f>
        <v/>
      </c>
    </row>
    <row r="8" spans="1:26">
      <c r="K8" s="77" t="str">
        <f>IF('Lender Validation'!E18="","",'Lender Validation'!E18)</f>
        <v/>
      </c>
    </row>
  </sheetData>
  <pageMargins left="0.7" right="0.7" top="0.75" bottom="0.75" header="0.3" footer="0.3"/>
  <pageSetup scale="79" orientation="portrait" r:id="rId1"/>
  <headerFooter>
    <oddFooter>&amp;L04/17&amp;CConfidential - Internal Distribution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6"/>
  <sheetViews>
    <sheetView workbookViewId="0">
      <selection activeCell="N1" sqref="N1"/>
    </sheetView>
  </sheetViews>
  <sheetFormatPr defaultRowHeight="15"/>
  <cols>
    <col min="2" max="2" width="16.42578125" customWidth="1"/>
    <col min="16" max="16" width="12" customWidth="1"/>
  </cols>
  <sheetData>
    <row r="1" spans="1:21" s="5" customFormat="1">
      <c r="A1" s="113" t="s">
        <v>387</v>
      </c>
      <c r="B1" s="113" t="s">
        <v>311</v>
      </c>
      <c r="C1" s="114" t="s">
        <v>66</v>
      </c>
      <c r="D1" s="114" t="s">
        <v>67</v>
      </c>
      <c r="E1" s="114" t="s">
        <v>225</v>
      </c>
      <c r="F1" s="114" t="s">
        <v>195</v>
      </c>
      <c r="G1" s="114" t="s">
        <v>196</v>
      </c>
      <c r="H1" s="114" t="s">
        <v>227</v>
      </c>
      <c r="I1" s="114" t="s">
        <v>228</v>
      </c>
      <c r="J1" s="114" t="s">
        <v>394</v>
      </c>
      <c r="K1" s="114" t="s">
        <v>198</v>
      </c>
      <c r="L1" s="114" t="s">
        <v>505</v>
      </c>
      <c r="M1" s="114" t="s">
        <v>193</v>
      </c>
      <c r="N1" s="114" t="s">
        <v>199</v>
      </c>
      <c r="O1" s="114" t="s">
        <v>306</v>
      </c>
      <c r="P1" s="114" t="s">
        <v>390</v>
      </c>
      <c r="Q1" s="114" t="s">
        <v>230</v>
      </c>
      <c r="R1" s="114" t="s">
        <v>307</v>
      </c>
      <c r="S1" s="114" t="s">
        <v>502</v>
      </c>
      <c r="T1" s="114" t="s">
        <v>479</v>
      </c>
      <c r="U1" s="114" t="s">
        <v>197</v>
      </c>
    </row>
    <row r="2" spans="1:21">
      <c r="A2" s="3"/>
      <c r="B2" s="116" t="str">
        <f>IF('Input-Property'!D23="", "", 'Input-Property'!D23)</f>
        <v/>
      </c>
      <c r="C2" s="3" t="str">
        <f>IF('Input-Property'!D24="", "", 'Input-Property'!D24)</f>
        <v/>
      </c>
      <c r="D2" s="3" t="str">
        <f>IF('Input-Property'!D25="", "", 'Input-Property'!D25)</f>
        <v/>
      </c>
      <c r="E2" s="3" t="str">
        <f>IF('Input-Property'!D26="", "", 'Input-Property'!D26)</f>
        <v/>
      </c>
      <c r="F2" s="3" t="str">
        <f>IF('Input-Property'!D28="", "", 'Input-Property'!D28)</f>
        <v/>
      </c>
      <c r="G2" s="3" t="str">
        <f>IF('Input-Property'!D29="", "", 'Input-Property'!D29)</f>
        <v/>
      </c>
      <c r="H2" s="3" t="str">
        <f>IF('Input-Property'!D32="", "", 'Input-Property'!D32)</f>
        <v/>
      </c>
      <c r="I2" s="3" t="str">
        <f>IF('Input-Property'!D33="", "", 'Input-Property'!D33)</f>
        <v/>
      </c>
      <c r="J2" s="3" t="str">
        <f>IF('Input-Property'!D31="", "", 'Input-Property'!D31)</f>
        <v/>
      </c>
      <c r="K2" s="3">
        <f>IF('Input-Property'!D42="", "", 'Input-Property'!D42)</f>
        <v>0</v>
      </c>
      <c r="L2" s="3">
        <f>IF('Input-Property'!D43="", "", 'Input-Property'!D43)</f>
        <v>0</v>
      </c>
      <c r="M2" s="119" t="str">
        <f>IF('Input-Property'!D45="", "", 'Input-Property'!D45)</f>
        <v/>
      </c>
      <c r="N2" s="3">
        <f>IF('Input-Property'!E48="",'Input-Property'!D48,'Input-Property'!E48)</f>
        <v>0</v>
      </c>
      <c r="O2" s="3" t="str">
        <f>IF('Input-Utilities'!C49="","",'Input-Utilities'!C49)</f>
        <v/>
      </c>
      <c r="P2" s="139" t="str">
        <f>IF('Input-Utilities'!H49="","",'Input-Utilities'!H49)</f>
        <v/>
      </c>
      <c r="Q2" s="3" t="str">
        <f>IF('Input-Utilities'!D49="","",'Input-Utilities'!D49)</f>
        <v/>
      </c>
      <c r="R2" s="3" t="str">
        <f>IF('Input-Utilities'!E49="","",'Input-Utilities'!E49)</f>
        <v/>
      </c>
      <c r="S2" s="3" t="str">
        <f>IF('Input-Utilities'!F49="","",'Input-Utilities'!F49)</f>
        <v/>
      </c>
      <c r="T2" s="3" t="str">
        <f>IF('Input-Utilities'!G49="","",'Input-Utilities'!G49)</f>
        <v/>
      </c>
      <c r="U2" s="3">
        <f>IF('Input-Property'!D43="", "", 'Input-Property'!D43-'Input-Property'!D37)</f>
        <v>0</v>
      </c>
    </row>
    <row r="6" spans="1:21">
      <c r="N6" s="51"/>
    </row>
  </sheetData>
  <pageMargins left="0.7" right="0.7" top="0.75" bottom="0.75" header="0.3" footer="0.3"/>
  <pageSetup orientation="portrait" r:id="rId1"/>
  <headerFooter>
    <oddFooter>&amp;CConfidential - Internal Distribution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5"/>
  <sheetViews>
    <sheetView workbookViewId="0">
      <selection activeCell="W2" sqref="W2"/>
    </sheetView>
  </sheetViews>
  <sheetFormatPr defaultRowHeight="15"/>
  <cols>
    <col min="1" max="1" width="10.28515625" customWidth="1"/>
    <col min="2" max="2" width="15.7109375" customWidth="1"/>
    <col min="3" max="3" width="17.7109375" customWidth="1"/>
    <col min="4" max="5" width="15.42578125" customWidth="1"/>
    <col min="6" max="6" width="20.28515625" customWidth="1"/>
    <col min="7" max="7" width="22.42578125" customWidth="1"/>
    <col min="8" max="9" width="19.5703125" customWidth="1"/>
    <col min="10" max="11" width="19.7109375" customWidth="1"/>
    <col min="12" max="14" width="19.28515625" customWidth="1"/>
    <col min="15" max="15" width="19.7109375" customWidth="1"/>
    <col min="16" max="17" width="20.42578125" customWidth="1"/>
    <col min="18" max="18" width="15.42578125" customWidth="1"/>
    <col min="19" max="19" width="12.28515625" customWidth="1"/>
    <col min="20" max="20" width="12" customWidth="1"/>
    <col min="21" max="22" width="13.5703125" customWidth="1"/>
    <col min="23" max="23" width="11.5703125" customWidth="1"/>
    <col min="24" max="24" width="11.28515625" customWidth="1"/>
    <col min="25" max="25" width="13.42578125" customWidth="1"/>
    <col min="26" max="26" width="14.7109375" customWidth="1"/>
    <col min="33" max="33" width="16.7109375" customWidth="1"/>
  </cols>
  <sheetData>
    <row r="1" spans="1:33" s="5" customFormat="1">
      <c r="A1" s="113" t="s">
        <v>387</v>
      </c>
      <c r="B1" s="114" t="s">
        <v>200</v>
      </c>
      <c r="C1" s="114" t="s">
        <v>201</v>
      </c>
      <c r="D1" s="114" t="s">
        <v>202</v>
      </c>
      <c r="E1" s="114" t="s">
        <v>704</v>
      </c>
      <c r="F1" s="114" t="s">
        <v>650</v>
      </c>
      <c r="G1" s="114" t="s">
        <v>651</v>
      </c>
      <c r="H1" s="114" t="s">
        <v>652</v>
      </c>
      <c r="I1" s="114" t="s">
        <v>653</v>
      </c>
      <c r="J1" s="114" t="s">
        <v>654</v>
      </c>
      <c r="K1" s="114" t="s">
        <v>655</v>
      </c>
      <c r="L1" s="114" t="s">
        <v>656</v>
      </c>
      <c r="M1" s="114" t="s">
        <v>657</v>
      </c>
      <c r="N1" s="114" t="s">
        <v>658</v>
      </c>
      <c r="O1" s="113" t="s">
        <v>667</v>
      </c>
      <c r="P1" s="113" t="s">
        <v>203</v>
      </c>
      <c r="Q1" s="113" t="s">
        <v>668</v>
      </c>
      <c r="R1" s="113" t="s">
        <v>669</v>
      </c>
      <c r="S1" s="114" t="s">
        <v>660</v>
      </c>
      <c r="T1" s="114" t="s">
        <v>661</v>
      </c>
      <c r="U1" s="114" t="s">
        <v>659</v>
      </c>
      <c r="V1" s="114" t="s">
        <v>662</v>
      </c>
      <c r="W1" s="114" t="s">
        <v>663</v>
      </c>
      <c r="X1" s="114" t="s">
        <v>666</v>
      </c>
      <c r="Y1" s="114" t="s">
        <v>665</v>
      </c>
      <c r="Z1" s="115" t="s">
        <v>664</v>
      </c>
      <c r="AA1" s="113" t="s">
        <v>204</v>
      </c>
      <c r="AB1" s="113" t="s">
        <v>205</v>
      </c>
      <c r="AC1" s="113" t="s">
        <v>391</v>
      </c>
      <c r="AD1" s="113" t="s">
        <v>206</v>
      </c>
      <c r="AE1" s="113" t="s">
        <v>207</v>
      </c>
      <c r="AF1" s="113" t="s">
        <v>208</v>
      </c>
      <c r="AG1" s="115" t="s">
        <v>308</v>
      </c>
    </row>
    <row r="2" spans="1:33">
      <c r="A2" s="3"/>
      <c r="B2" s="3" t="str">
        <f>IF('Input-Utilities'!C10="","",'Input-Utilities'!C10)</f>
        <v>Electricity</v>
      </c>
      <c r="C2" s="116" t="str">
        <f>IF('Input-Utilities'!D10="","",ROUND('Input-Utilities'!D10,0))</f>
        <v/>
      </c>
      <c r="D2" s="116" t="str">
        <f>IF('Input-Utilities'!G10="","",ROUND('Input-Utilities'!G10,0))</f>
        <v/>
      </c>
      <c r="E2" s="116">
        <f>SUM(C2:D2)</f>
        <v>0</v>
      </c>
      <c r="F2" s="116" t="str">
        <f>IF('Input-Utilities'!E10="","",IFERROR('Input-Utilities'!E10*INDEX(Assumptions!$D$6:$D$22,MATCH('Input-Utilities'!$F10,Assumptions!$C$6:$C$22,0))/1000,""))</f>
        <v/>
      </c>
      <c r="G2" s="116" t="str">
        <f>IF('Input-Utilities'!E10="","",IFERROR('Input-Utilities'!E10*INDEX(Assumptions!$F$6:$F$22,MATCH('Input-Utilities'!$F10,Assumptions!$C$6:$C$22,0))/1000,""))</f>
        <v/>
      </c>
      <c r="H2" s="56"/>
      <c r="I2" s="116" t="str">
        <f>IF('Input-Utilities'!H10="","",IFERROR('Input-Utilities'!H10*INDEX(Assumptions!$D$6:$D$22,MATCH('Input-Utilities'!$F10,Assumptions!$C$6:$C$22,0))/1000,""))</f>
        <v/>
      </c>
      <c r="J2" s="116" t="str">
        <f>IF('Input-Utilities'!H10="","",IFERROR('Input-Utilities'!H10*INDEX(Assumptions!$F$6:$F$22,MATCH('Input-Utilities'!$F10,Assumptions!$C$6:$C$22,0))/1000,""))</f>
        <v/>
      </c>
      <c r="K2" s="56"/>
      <c r="L2" s="116">
        <f>SUM(F2,I2)</f>
        <v>0</v>
      </c>
      <c r="M2" s="116">
        <f>SUM(G2,J2)</f>
        <v>0</v>
      </c>
      <c r="N2" s="56"/>
      <c r="O2" s="3" t="str">
        <f>IF('Input-Utilities'!D23="","",'Input-Utilities'!D23)</f>
        <v/>
      </c>
      <c r="P2" s="3" t="str">
        <f>IF('Input-Utilities'!E23="","",'Input-Utilities'!E23)</f>
        <v/>
      </c>
      <c r="Q2" s="3" t="str">
        <f>IF('Input-Utilities'!F23="","",'Input-Utilities'!F23)</f>
        <v/>
      </c>
      <c r="R2" s="3" t="str">
        <f>IF('Input-Utilities'!G23="","",'Input-Utilities'!G23)</f>
        <v/>
      </c>
      <c r="S2" s="3" t="str">
        <f>IF('Input-Utilities'!D40="","",IFERROR('Input-Utilities'!D40*INDEX(Assumptions!$D$6:$D$22,MATCH('Input-Utilities'!$F10,Assumptions!$C$6:$C$22,0))/1000,""))</f>
        <v/>
      </c>
      <c r="T2" s="3" t="str">
        <f>IF('Input-Utilities'!E40="","",IFERROR('Input-Utilities'!E40*INDEX(Assumptions!$D$6:$D$22,MATCH('Input-Utilities'!$F10,Assumptions!$C$6:$C$22,0))/1000,""))</f>
        <v/>
      </c>
      <c r="U2" s="56"/>
      <c r="V2" s="3" t="str">
        <f>IF('Input-Utilities'!G40="","",IFERROR('Input-Utilities'!G40*INDEX(Assumptions!$D$6:$D$22,MATCH('Input-Utilities'!$F10,Assumptions!$C$6:$C$22,0))/1000,""))</f>
        <v/>
      </c>
      <c r="W2" s="3" t="str">
        <f>IF('Input-Utilities'!H40="","",IFERROR('Input-Utilities'!H40*INDEX(Assumptions!$D$6:$D$22,MATCH('Input-Utilities'!$F10,Assumptions!$C$6:$C$22,0))/1000,""))</f>
        <v/>
      </c>
      <c r="X2" s="3" t="str">
        <f>IF('Input-Utilities'!I40="","",IFERROR('Input-Utilities'!I40*INDEX(Assumptions!$D$6:$D$22,MATCH('Input-Utilities'!$F10,Assumptions!$C$6:$C$22,0))/1000,""))</f>
        <v/>
      </c>
      <c r="Y2" s="56"/>
      <c r="Z2" s="3">
        <f>SUM(V2:X2)</f>
        <v>0</v>
      </c>
      <c r="AA2" s="3" t="b">
        <f>'Input-Utilities'!E40&gt;0</f>
        <v>0</v>
      </c>
      <c r="AB2" s="3" t="b">
        <f>'Input-Utilities'!D40&gt;0</f>
        <v>0</v>
      </c>
      <c r="AC2" s="3" t="b">
        <f>'Input-Utilities'!G40&gt;0</f>
        <v>0</v>
      </c>
      <c r="AD2" s="56"/>
      <c r="AE2" s="56"/>
      <c r="AF2" s="56"/>
      <c r="AG2" s="3" t="str">
        <f>IF('Input-Utilities'!K40="","",'Input-Utilities'!K40)</f>
        <v/>
      </c>
    </row>
    <row r="3" spans="1:33">
      <c r="A3" s="3"/>
      <c r="B3" s="3" t="str">
        <f>IF('Input-Utilities'!C11="","",'Input-Utilities'!C11)</f>
        <v/>
      </c>
      <c r="C3" s="116" t="str">
        <f>IF('Input-Utilities'!D11="","",ROUND('Input-Utilities'!D11,0))</f>
        <v/>
      </c>
      <c r="D3" s="116" t="str">
        <f>IF('Input-Utilities'!G11="","",ROUND('Input-Utilities'!G11,0))</f>
        <v/>
      </c>
      <c r="E3" s="116">
        <f t="shared" ref="E3:E5" si="0">SUM(C3:D3)</f>
        <v>0</v>
      </c>
      <c r="F3" s="116" t="str">
        <f>IF('Input-Utilities'!E11="","",IFERROR('Input-Utilities'!E11*INDEX(Assumptions!$D$6:$D$22,MATCH('Input-Utilities'!$F11,Assumptions!$C$6:$C$22,0))/1000,""))</f>
        <v/>
      </c>
      <c r="G3" s="116" t="str">
        <f>IF('Input-Utilities'!E11="","",IFERROR('Input-Utilities'!E11*INDEX(Assumptions!$F$6:$F$22,MATCH('Input-Utilities'!$F11,Assumptions!$C$6:$C$22,0))/1000,""))</f>
        <v/>
      </c>
      <c r="H3" s="56"/>
      <c r="I3" s="116" t="str">
        <f>IF('Input-Utilities'!H11="","",IFERROR('Input-Utilities'!H11*INDEX(Assumptions!$D$6:$D$22,MATCH('Input-Utilities'!$F11,Assumptions!$C$6:$C$22,0))/1000,""))</f>
        <v/>
      </c>
      <c r="J3" s="116" t="str">
        <f>IF('Input-Utilities'!H11="","",IFERROR('Input-Utilities'!H11*INDEX(Assumptions!$F$6:$F$22,MATCH('Input-Utilities'!$F11,Assumptions!$C$6:$C$22,0))/1000,""))</f>
        <v/>
      </c>
      <c r="K3" s="56"/>
      <c r="L3" s="116">
        <f t="shared" ref="L3:L4" si="1">SUM(F3,I3)</f>
        <v>0</v>
      </c>
      <c r="M3" s="116">
        <f t="shared" ref="M3" si="2">SUM(G3,J3)</f>
        <v>0</v>
      </c>
      <c r="N3" s="56"/>
      <c r="O3" s="3" t="str">
        <f>IF('Input-Utilities'!D24="","",'Input-Utilities'!D24)</f>
        <v/>
      </c>
      <c r="P3" s="3" t="str">
        <f>IF('Input-Utilities'!E24="","",'Input-Utilities'!E24)</f>
        <v/>
      </c>
      <c r="Q3" s="3" t="str">
        <f>IF('Input-Utilities'!F24="","",'Input-Utilities'!F24)</f>
        <v/>
      </c>
      <c r="R3" s="3" t="str">
        <f>IF('Input-Utilities'!G24="","",'Input-Utilities'!G24)</f>
        <v/>
      </c>
      <c r="S3" s="3" t="str">
        <f>IF('Input-Utilities'!D41="","",IFERROR('Input-Utilities'!D41*INDEX(Assumptions!$D$6:$D$22,MATCH('Input-Utilities'!$F11,Assumptions!$C$6:$C$22,0))/1000,""))</f>
        <v/>
      </c>
      <c r="T3" s="3" t="str">
        <f>IF('Input-Utilities'!E41="","",IFERROR('Input-Utilities'!E41*INDEX(Assumptions!$D$6:$D$22,MATCH('Input-Utilities'!$F11,Assumptions!$C$6:$C$22,0))/1000,""))</f>
        <v/>
      </c>
      <c r="U3" s="56"/>
      <c r="V3" s="3" t="str">
        <f>IF('Input-Utilities'!G41="","",IFERROR('Input-Utilities'!G41*INDEX(Assumptions!$D$6:$D$22,MATCH('Input-Utilities'!$F11,Assumptions!$C$6:$C$22,0))/1000,""))</f>
        <v/>
      </c>
      <c r="W3" s="3" t="str">
        <f>IF('Input-Utilities'!H41="","",IFERROR('Input-Utilities'!H41*INDEX(Assumptions!$D$6:$D$22,MATCH('Input-Utilities'!$F11,Assumptions!$C$6:$C$22,0))/1000,""))</f>
        <v/>
      </c>
      <c r="X3" s="3" t="str">
        <f>IF('Input-Utilities'!I41="","",IFERROR('Input-Utilities'!I41*INDEX(Assumptions!$D$6:$D$22,MATCH('Input-Utilities'!$F11,Assumptions!$C$6:$C$22,0))/1000,""))</f>
        <v/>
      </c>
      <c r="Y3" s="56"/>
      <c r="Z3" s="3">
        <f t="shared" ref="Z3:Z4" si="3">SUM(V3:X3)</f>
        <v>0</v>
      </c>
      <c r="AA3" s="3" t="b">
        <f>'Input-Utilities'!E41&gt;0</f>
        <v>0</v>
      </c>
      <c r="AB3" s="3" t="b">
        <f>'Input-Utilities'!D41&gt;0</f>
        <v>0</v>
      </c>
      <c r="AC3" s="3" t="b">
        <f>'Input-Utilities'!G41&gt;0</f>
        <v>0</v>
      </c>
      <c r="AD3" s="56"/>
      <c r="AE3" s="56"/>
      <c r="AF3" s="56"/>
      <c r="AG3" s="3" t="str">
        <f>IF('Input-Utilities'!K41="","",'Input-Utilities'!K41)</f>
        <v/>
      </c>
    </row>
    <row r="4" spans="1:33">
      <c r="A4" s="3"/>
      <c r="B4" s="3" t="str">
        <f>IF('Input-Utilities'!C12="","",'Input-Utilities'!C12)</f>
        <v/>
      </c>
      <c r="C4" s="116" t="str">
        <f>IF('Input-Utilities'!D12="","",ROUND('Input-Utilities'!D12,0))</f>
        <v/>
      </c>
      <c r="D4" s="116" t="str">
        <f>IF('Input-Utilities'!G12="","",ROUND('Input-Utilities'!G12,0))</f>
        <v/>
      </c>
      <c r="E4" s="116">
        <f t="shared" si="0"/>
        <v>0</v>
      </c>
      <c r="F4" s="116" t="str">
        <f>IF('Input-Utilities'!E12="","",IFERROR('Input-Utilities'!E12*INDEX(Assumptions!$D$6:$D$22,MATCH('Input-Utilities'!$F12,Assumptions!$C$6:$C$22,0))/1000,""))</f>
        <v/>
      </c>
      <c r="G4" s="116" t="str">
        <f>IF('Input-Utilities'!E12="","",IFERROR('Input-Utilities'!E12*INDEX(Assumptions!$F$6:$F$22,MATCH('Input-Utilities'!$F12,Assumptions!$C$6:$C$22,0))/1000,""))</f>
        <v/>
      </c>
      <c r="H4" s="56"/>
      <c r="I4" s="116" t="str">
        <f>IF('Input-Utilities'!H12="","",IFERROR('Input-Utilities'!H12*INDEX(Assumptions!$D$6:$D$22,MATCH('Input-Utilities'!$F12,Assumptions!$C$6:$C$22,0))/1000,""))</f>
        <v/>
      </c>
      <c r="J4" s="116" t="str">
        <f>IF('Input-Utilities'!H12="","",IFERROR('Input-Utilities'!H12*INDEX(Assumptions!$F$6:$F$22,MATCH('Input-Utilities'!$F12,Assumptions!$C$6:$C$22,0))/1000,""))</f>
        <v/>
      </c>
      <c r="K4" s="56"/>
      <c r="L4" s="116">
        <f t="shared" si="1"/>
        <v>0</v>
      </c>
      <c r="M4" s="116">
        <f>SUM(G4,J4)</f>
        <v>0</v>
      </c>
      <c r="N4" s="56"/>
      <c r="O4" s="3" t="str">
        <f>IF('Input-Utilities'!D25="","",'Input-Utilities'!D25)</f>
        <v/>
      </c>
      <c r="P4" s="3" t="str">
        <f>IF('Input-Utilities'!E25="","",'Input-Utilities'!E25)</f>
        <v/>
      </c>
      <c r="Q4" s="3" t="str">
        <f>IF('Input-Utilities'!F25="","",'Input-Utilities'!F25)</f>
        <v/>
      </c>
      <c r="R4" s="3" t="str">
        <f>IF('Input-Utilities'!G25="","",'Input-Utilities'!G25)</f>
        <v/>
      </c>
      <c r="S4" s="3" t="str">
        <f>IF('Input-Utilities'!D42="","",IFERROR('Input-Utilities'!D42*INDEX(Assumptions!$D$6:$D$22,MATCH('Input-Utilities'!$F12,Assumptions!$C$6:$C$22,0))/1000,""))</f>
        <v/>
      </c>
      <c r="T4" s="3" t="str">
        <f>IF('Input-Utilities'!E42="","",IFERROR('Input-Utilities'!E42*INDEX(Assumptions!$D$6:$D$22,MATCH('Input-Utilities'!$F12,Assumptions!$C$6:$C$22,0))/1000,""))</f>
        <v/>
      </c>
      <c r="U4" s="56"/>
      <c r="V4" s="3" t="str">
        <f>IF('Input-Utilities'!G42="","",IFERROR('Input-Utilities'!G42*INDEX(Assumptions!$D$6:$D$22,MATCH('Input-Utilities'!$F12,Assumptions!$C$6:$C$22,0))/1000,""))</f>
        <v/>
      </c>
      <c r="W4" s="3" t="str">
        <f>IF('Input-Utilities'!H42="","",IFERROR('Input-Utilities'!H42*INDEX(Assumptions!$D$6:$D$22,MATCH('Input-Utilities'!$F12,Assumptions!$C$6:$C$22,0))/1000,""))</f>
        <v/>
      </c>
      <c r="X4" s="3" t="str">
        <f>IF('Input-Utilities'!I42="","",IFERROR('Input-Utilities'!I42*INDEX(Assumptions!$D$6:$D$22,MATCH('Input-Utilities'!$F12,Assumptions!$C$6:$C$22,0))/1000,""))</f>
        <v/>
      </c>
      <c r="Y4" s="56"/>
      <c r="Z4" s="3">
        <f t="shared" si="3"/>
        <v>0</v>
      </c>
      <c r="AA4" s="3" t="b">
        <f>'Input-Utilities'!E42&gt;0</f>
        <v>0</v>
      </c>
      <c r="AB4" s="3" t="b">
        <f>'Input-Utilities'!D42&gt;0</f>
        <v>0</v>
      </c>
      <c r="AC4" s="3" t="b">
        <f>'Input-Utilities'!G42&gt;0</f>
        <v>0</v>
      </c>
      <c r="AD4" s="56"/>
      <c r="AE4" s="56"/>
      <c r="AF4" s="56"/>
      <c r="AG4" s="3" t="str">
        <f>IF('Input-Utilities'!K42="","",'Input-Utilities'!K42)</f>
        <v/>
      </c>
    </row>
    <row r="5" spans="1:33">
      <c r="A5" s="3"/>
      <c r="B5" s="3" t="str">
        <f>IF('Input-Utilities'!C13="","",'Input-Utilities'!C13)</f>
        <v>Water and Sewer</v>
      </c>
      <c r="C5" s="116" t="str">
        <f>IF('Input-Utilities'!D13="","",ROUND('Input-Utilities'!D13,0))</f>
        <v/>
      </c>
      <c r="D5" s="116" t="str">
        <f>IF('Input-Utilities'!G13="","",ROUND('Input-Utilities'!G13,0))</f>
        <v/>
      </c>
      <c r="E5" s="116">
        <f t="shared" si="0"/>
        <v>0</v>
      </c>
      <c r="F5" s="56"/>
      <c r="G5" s="56"/>
      <c r="H5" s="116" t="str">
        <f>IF('Input-Utilities'!E13="","",IFERROR('Input-Utilities'!E13*INDEX(Assumptions!$D$24:$D$27,MATCH('Input-Utilities'!$F13,Assumptions!$C$24:$C$27,0))/1000,""))</f>
        <v/>
      </c>
      <c r="I5" s="56"/>
      <c r="J5" s="56"/>
      <c r="K5" s="116" t="str">
        <f>IF('Input-Utilities'!H13="","",IFERROR('Input-Utilities'!H13*INDEX(Assumptions!$D$24:$D$27,MATCH('Input-Utilities'!$F13,Assumptions!$C$24:$C$27,0))/1000,""))</f>
        <v/>
      </c>
      <c r="L5" s="56"/>
      <c r="M5" s="56"/>
      <c r="N5" s="116">
        <f>SUM(H5,K5)</f>
        <v>0</v>
      </c>
      <c r="O5" s="3" t="str">
        <f>IF('Input-Utilities'!D26="","",'Input-Utilities'!D26)</f>
        <v/>
      </c>
      <c r="P5" s="3" t="str">
        <f>IF('Input-Utilities'!E26="","",'Input-Utilities'!E26)</f>
        <v/>
      </c>
      <c r="Q5" s="3" t="str">
        <f>IF('Input-Utilities'!F26="","",'Input-Utilities'!F26)</f>
        <v/>
      </c>
      <c r="R5" s="3" t="str">
        <f>IF('Input-Utilities'!G26="","",'Input-Utilities'!G26)</f>
        <v/>
      </c>
      <c r="S5" s="56"/>
      <c r="T5" s="56"/>
      <c r="U5" s="3" t="str">
        <f>IF('Input-Utilities'!F43="","",IFERROR('Input-Utilities'!F43*INDEX(Assumptions!$D$24:$D$27,MATCH('Input-Utilities'!$F13,Assumptions!$C$24:$C$27,0))/1000,""))</f>
        <v/>
      </c>
      <c r="V5" s="56"/>
      <c r="W5" s="56"/>
      <c r="X5" s="56"/>
      <c r="Y5" s="3" t="str">
        <f>IF('Input-Utilities'!I43="","",IFERROR('Input-Utilities'!I43*INDEX(Assumptions!$D$24:$D$27,MATCH('Input-Utilities'!$F13,Assumptions!$C$24:$C$27,0))/1000,""))</f>
        <v/>
      </c>
      <c r="Z5" s="56"/>
      <c r="AA5" s="56"/>
      <c r="AB5" s="56"/>
      <c r="AC5" s="56"/>
      <c r="AD5" s="3" t="b">
        <f>'Input-Utilities'!F43&gt;0</f>
        <v>0</v>
      </c>
      <c r="AE5" s="3" t="b">
        <f>SUM('Input-WaterCalc'!E55:F56)&gt;0</f>
        <v>0</v>
      </c>
      <c r="AF5" s="3" t="b">
        <f>SUM('Input-WaterCalc'!E57:F57)&gt;0</f>
        <v>0</v>
      </c>
      <c r="AG5" s="3" t="str">
        <f>IF('Input-Utilities'!K43="","",'Input-Utilities'!K43)</f>
        <v/>
      </c>
    </row>
  </sheetData>
  <pageMargins left="0.7" right="0.7" top="0.75" bottom="0.75" header="0.3" footer="0.3"/>
  <pageSetup orientation="portrait" r:id="rId1"/>
  <headerFooter>
    <oddFooter>&amp;CConfidential - Internal Distribution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6"/>
  <sheetViews>
    <sheetView workbookViewId="0">
      <selection activeCell="H13" sqref="H13"/>
    </sheetView>
  </sheetViews>
  <sheetFormatPr defaultRowHeight="15"/>
  <cols>
    <col min="2" max="12" width="16.7109375" customWidth="1"/>
  </cols>
  <sheetData>
    <row r="1" spans="1:22" s="5" customFormat="1">
      <c r="A1" s="113" t="s">
        <v>387</v>
      </c>
      <c r="B1" s="113" t="s">
        <v>674</v>
      </c>
      <c r="C1" s="113" t="s">
        <v>675</v>
      </c>
      <c r="D1" s="118" t="s">
        <v>676</v>
      </c>
      <c r="E1" s="118" t="s">
        <v>734</v>
      </c>
      <c r="F1" s="104"/>
      <c r="G1" s="104"/>
      <c r="H1" s="104"/>
      <c r="I1" s="104"/>
      <c r="J1" s="104"/>
      <c r="K1" s="104"/>
      <c r="L1" s="104"/>
      <c r="M1" s="104"/>
      <c r="N1" s="104"/>
      <c r="O1" s="104"/>
      <c r="P1" s="104"/>
      <c r="Q1" s="104"/>
      <c r="R1" s="104"/>
      <c r="S1" s="104"/>
      <c r="T1" s="104"/>
      <c r="U1" s="104"/>
      <c r="V1" s="104"/>
    </row>
    <row r="2" spans="1:22">
      <c r="A2" s="3"/>
      <c r="B2" s="116" t="str">
        <f>IF('Input-Utilities'!C29="", "", 'Input-Utilities'!C29)</f>
        <v>In-Unit Heating</v>
      </c>
      <c r="C2" s="116" t="str">
        <f>IF('Input-Utilities'!D29="", "", 'Input-Utilities'!D29)</f>
        <v/>
      </c>
      <c r="D2" s="116" t="str">
        <f>IF('Input-Utilities'!E29="", "", 'Input-Utilities'!E29)</f>
        <v/>
      </c>
      <c r="E2" s="116" t="str">
        <f>IF('Input-Utilities'!F29="", "", 'Input-Utilities'!F29)</f>
        <v/>
      </c>
      <c r="F2" s="117"/>
      <c r="G2" s="117"/>
      <c r="H2" s="117"/>
      <c r="I2" s="117"/>
      <c r="J2" s="117"/>
      <c r="K2" s="117"/>
      <c r="L2" s="117"/>
      <c r="M2" s="117"/>
      <c r="N2" s="4"/>
      <c r="O2" s="4"/>
      <c r="P2" s="4"/>
      <c r="Q2" s="4"/>
      <c r="R2" s="4"/>
      <c r="S2" s="4"/>
      <c r="T2" s="4"/>
      <c r="U2" s="4"/>
      <c r="V2" s="4"/>
    </row>
    <row r="3" spans="1:22">
      <c r="A3" s="3"/>
      <c r="B3" s="116" t="str">
        <f>IF('Input-Utilities'!C30="", "", 'Input-Utilities'!C30)</f>
        <v>In-Unit Water Heating</v>
      </c>
      <c r="C3" s="116" t="str">
        <f>IF('Input-Utilities'!D30="", "", 'Input-Utilities'!D30)</f>
        <v/>
      </c>
      <c r="D3" s="116" t="str">
        <f>IF('Input-Utilities'!E30="", "", 'Input-Utilities'!E30)</f>
        <v/>
      </c>
      <c r="E3" s="116" t="str">
        <f>IF('Input-Utilities'!F30="", "", 'Input-Utilities'!F30)</f>
        <v/>
      </c>
    </row>
    <row r="4" spans="1:22">
      <c r="A4" s="3"/>
      <c r="B4" s="116" t="str">
        <f>IF('Input-Utilities'!C31="", "", 'Input-Utilities'!C31)</f>
        <v>In-Unit Electricity</v>
      </c>
      <c r="C4" s="116" t="str">
        <f>IF('Input-Utilities'!D31="", "", 'Input-Utilities'!D31)</f>
        <v/>
      </c>
      <c r="D4" s="116" t="str">
        <f>IF('Input-Utilities'!E31="", "", 'Input-Utilities'!E31)</f>
        <v>Electricity</v>
      </c>
      <c r="E4" s="116" t="str">
        <f>IF('Input-Utilities'!F31="", "", 'Input-Utilities'!F31)</f>
        <v/>
      </c>
    </row>
    <row r="5" spans="1:22">
      <c r="A5" s="3"/>
      <c r="B5" s="116" t="str">
        <f>IF('Input-Utilities'!C32="", "", 'Input-Utilities'!C32)</f>
        <v>In-Unit Cooling</v>
      </c>
      <c r="C5" s="116" t="str">
        <f>IF('Input-Utilities'!D32="", "", 'Input-Utilities'!D32)</f>
        <v/>
      </c>
      <c r="D5" s="116" t="str">
        <f>IF('Input-Utilities'!E32="", "", 'Input-Utilities'!E32)</f>
        <v/>
      </c>
      <c r="E5" s="116" t="str">
        <f>IF('Input-Utilities'!F32="", "", 'Input-Utilities'!F32)</f>
        <v/>
      </c>
    </row>
    <row r="6" spans="1:22">
      <c r="N6" s="51"/>
    </row>
  </sheetData>
  <pageMargins left="0.7" right="0.7" top="0.75" bottom="0.75" header="0.3" footer="0.3"/>
  <pageSetup orientation="portrait" r:id="rId1"/>
  <headerFooter>
    <oddFooter>&amp;CConfidential - Internal Distribution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0"/>
  <sheetViews>
    <sheetView topLeftCell="D1" workbookViewId="0">
      <selection activeCell="N19" sqref="N19"/>
    </sheetView>
  </sheetViews>
  <sheetFormatPr defaultColWidth="9.28515625" defaultRowHeight="15"/>
  <cols>
    <col min="1" max="1" width="10.42578125" style="79" customWidth="1"/>
    <col min="2" max="2" width="16.7109375" style="79" customWidth="1"/>
    <col min="3" max="3" width="10.28515625" style="79" customWidth="1"/>
    <col min="4" max="4" width="9.7109375" style="79" customWidth="1"/>
    <col min="5" max="5" width="13" style="79" customWidth="1"/>
    <col min="6" max="6" width="10.7109375" style="79" customWidth="1"/>
    <col min="7" max="7" width="15.42578125" style="79" customWidth="1"/>
    <col min="8" max="8" width="14.7109375" style="79" customWidth="1"/>
    <col min="9" max="9" width="11.7109375" style="79" customWidth="1"/>
    <col min="10" max="16384" width="9.28515625" style="79"/>
  </cols>
  <sheetData>
    <row r="1" spans="1:17">
      <c r="A1" s="128" t="s">
        <v>387</v>
      </c>
      <c r="B1" s="128" t="s">
        <v>486</v>
      </c>
      <c r="C1" s="114" t="s">
        <v>490</v>
      </c>
      <c r="D1" s="114" t="s">
        <v>491</v>
      </c>
      <c r="E1" s="114" t="s">
        <v>493</v>
      </c>
      <c r="F1" s="114" t="s">
        <v>492</v>
      </c>
      <c r="G1" s="114" t="s">
        <v>497</v>
      </c>
      <c r="H1" s="114" t="s">
        <v>498</v>
      </c>
      <c r="I1" s="114" t="s">
        <v>499</v>
      </c>
      <c r="J1" s="114" t="s">
        <v>500</v>
      </c>
      <c r="K1" s="128" t="s">
        <v>487</v>
      </c>
      <c r="L1" s="128" t="s">
        <v>488</v>
      </c>
      <c r="M1" s="128" t="s">
        <v>489</v>
      </c>
      <c r="N1" s="113" t="s">
        <v>771</v>
      </c>
      <c r="O1" s="113" t="s">
        <v>772</v>
      </c>
      <c r="P1" s="113" t="s">
        <v>773</v>
      </c>
    </row>
    <row r="2" spans="1:17">
      <c r="A2" s="129"/>
      <c r="B2" s="129" t="s">
        <v>332</v>
      </c>
      <c r="C2" s="129" t="str">
        <f>IF('Input-WaterCalc'!E13="","",'Input-WaterCalc'!E13)</f>
        <v/>
      </c>
      <c r="D2" s="129" t="str">
        <f>IF('Input-WaterCalc'!E14="","",'Input-WaterCalc'!E14)</f>
        <v/>
      </c>
      <c r="E2" s="129" t="str">
        <f>IF('Input-WaterCalc'!F13="","",'Input-WaterCalc'!F13)</f>
        <v/>
      </c>
      <c r="F2" s="129" t="str">
        <f>IF('Input-WaterCalc'!F14="","",'Input-WaterCalc'!F14)</f>
        <v/>
      </c>
      <c r="G2" s="129" t="str">
        <f>IF('Input-WaterCalc'!H13="","",'Input-WaterCalc'!H13)</f>
        <v/>
      </c>
      <c r="H2" s="129" t="str">
        <f>IF('Input-WaterCalc'!H14="","",'Input-WaterCalc'!H14)</f>
        <v/>
      </c>
      <c r="I2" s="129" t="str">
        <f>IF('Input-WaterCalc'!J13="","",'Input-WaterCalc'!J13)</f>
        <v/>
      </c>
      <c r="J2" s="129" t="s">
        <v>53</v>
      </c>
      <c r="K2" s="129">
        <f>IF('Input-WaterCalc'!G34="",'Input-WaterCalc'!E34,'Input-WaterCalc'!G34)</f>
        <v>4</v>
      </c>
      <c r="L2" s="129" t="s">
        <v>58</v>
      </c>
      <c r="M2" s="129">
        <f>IF('Input-WaterCalc'!$G$43="",'Input-WaterCalc'!$E$43,'Input-WaterCalc'!$G$43)</f>
        <v>0.75</v>
      </c>
      <c r="N2" s="130" t="str">
        <f>IFERROR('Input-WaterCalc'!E51/1000,"")</f>
        <v/>
      </c>
      <c r="O2" s="130" t="str">
        <f>IFERROR('Input-WaterCalc'!G51/1000,"")</f>
        <v/>
      </c>
      <c r="P2" s="130" t="str">
        <f>IFERROR('Input-WaterCalc'!I51/1000,"")</f>
        <v/>
      </c>
      <c r="Q2" s="81"/>
    </row>
    <row r="3" spans="1:17">
      <c r="A3" s="129"/>
      <c r="B3" s="129" t="s">
        <v>494</v>
      </c>
      <c r="C3" s="129" t="str">
        <f>IF('Input-WaterCalc'!E15="","",'Input-WaterCalc'!E15)</f>
        <v/>
      </c>
      <c r="D3" s="129" t="str">
        <f>IF('Input-WaterCalc'!E16="","",'Input-WaterCalc'!E16)</f>
        <v/>
      </c>
      <c r="E3" s="129" t="str">
        <f>IF('Input-WaterCalc'!F15="","",'Input-WaterCalc'!F15)</f>
        <v/>
      </c>
      <c r="F3" s="129" t="str">
        <f>IF('Input-WaterCalc'!F16="","",'Input-WaterCalc'!F16)</f>
        <v/>
      </c>
      <c r="G3" s="129" t="str">
        <f>IF('Input-WaterCalc'!H15="","",'Input-WaterCalc'!H15)</f>
        <v/>
      </c>
      <c r="H3" s="129" t="str">
        <f>IF('Input-WaterCalc'!H16="","",'Input-WaterCalc'!H16)</f>
        <v/>
      </c>
      <c r="I3" s="129" t="str">
        <f>IF('Input-WaterCalc'!J15="","",'Input-WaterCalc'!J15)</f>
        <v/>
      </c>
      <c r="J3" s="129" t="s">
        <v>53</v>
      </c>
      <c r="K3" s="129">
        <f>IF('Input-WaterCalc'!G35="",'Input-WaterCalc'!E35,'Input-WaterCalc'!G35)</f>
        <v>2</v>
      </c>
      <c r="L3" s="129" t="s">
        <v>58</v>
      </c>
      <c r="M3" s="129">
        <f>IF('Input-WaterCalc'!$G$43="",'Input-WaterCalc'!$E$43,'Input-WaterCalc'!$G$43)</f>
        <v>0.75</v>
      </c>
      <c r="N3" s="130" t="str">
        <f>IFERROR('Input-WaterCalc'!E52/1000,"")</f>
        <v/>
      </c>
      <c r="O3" s="130" t="str">
        <f>IFERROR('Input-WaterCalc'!G52/1000,"")</f>
        <v/>
      </c>
      <c r="P3" s="130" t="str">
        <f>IFERROR('Input-WaterCalc'!I52/1000,"")</f>
        <v/>
      </c>
      <c r="Q3" s="81"/>
    </row>
    <row r="4" spans="1:17">
      <c r="A4" s="129"/>
      <c r="B4" s="129" t="s">
        <v>55</v>
      </c>
      <c r="C4" s="129" t="str">
        <f>IF('Input-WaterCalc'!E17="","",'Input-WaterCalc'!E17)</f>
        <v/>
      </c>
      <c r="D4" s="129" t="str">
        <f>IF('Input-WaterCalc'!E18="","",'Input-WaterCalc'!E18)</f>
        <v/>
      </c>
      <c r="E4" s="129" t="str">
        <f>IF('Input-WaterCalc'!F17="","",'Input-WaterCalc'!F17)</f>
        <v/>
      </c>
      <c r="F4" s="129" t="str">
        <f>IF('Input-WaterCalc'!F18="","",'Input-WaterCalc'!F18)</f>
        <v/>
      </c>
      <c r="G4" s="129" t="str">
        <f>IF('Input-WaterCalc'!H17="","",'Input-WaterCalc'!H17)</f>
        <v/>
      </c>
      <c r="H4" s="129" t="str">
        <f>IF('Input-WaterCalc'!H18="","",'Input-WaterCalc'!H18)</f>
        <v/>
      </c>
      <c r="I4" s="129" t="str">
        <f>IF('Input-WaterCalc'!J17="","",'Input-WaterCalc'!J17)</f>
        <v/>
      </c>
      <c r="J4" s="129" t="s">
        <v>53</v>
      </c>
      <c r="K4" s="129">
        <f>IF('Input-WaterCalc'!G36="",'Input-WaterCalc'!E36,'Input-WaterCalc'!G36)</f>
        <v>8</v>
      </c>
      <c r="L4" s="129" t="s">
        <v>58</v>
      </c>
      <c r="M4" s="129">
        <f>IF('Input-WaterCalc'!$G$43="",'Input-WaterCalc'!$E$43,'Input-WaterCalc'!$G$43)</f>
        <v>0.75</v>
      </c>
      <c r="N4" s="130" t="str">
        <f>IFERROR('Input-WaterCalc'!E53/1000,"")</f>
        <v/>
      </c>
      <c r="O4" s="130" t="str">
        <f>IFERROR('Input-WaterCalc'!G53/1000,"")</f>
        <v/>
      </c>
      <c r="P4" s="130" t="str">
        <f>IFERROR('Input-WaterCalc'!I53/1000,"")</f>
        <v/>
      </c>
      <c r="Q4" s="81"/>
    </row>
    <row r="5" spans="1:17">
      <c r="A5" s="129"/>
      <c r="B5" s="129" t="s">
        <v>56</v>
      </c>
      <c r="C5" s="129" t="str">
        <f>IF('Input-WaterCalc'!E19="","",'Input-WaterCalc'!E19)</f>
        <v/>
      </c>
      <c r="D5" s="129" t="str">
        <f>IF('Input-WaterCalc'!E20="","",'Input-WaterCalc'!E20)</f>
        <v/>
      </c>
      <c r="E5" s="129" t="str">
        <f>IF('Input-WaterCalc'!F19="","",'Input-WaterCalc'!F19)</f>
        <v/>
      </c>
      <c r="F5" s="129" t="str">
        <f>IF('Input-WaterCalc'!F20="","",'Input-WaterCalc'!F20)</f>
        <v/>
      </c>
      <c r="G5" s="129" t="str">
        <f>IF('Input-WaterCalc'!H19="","",'Input-WaterCalc'!H19)</f>
        <v/>
      </c>
      <c r="H5" s="129" t="str">
        <f>IF('Input-WaterCalc'!H20="","",'Input-WaterCalc'!H20)</f>
        <v/>
      </c>
      <c r="I5" s="129" t="str">
        <f>IF('Input-WaterCalc'!J19="","",'Input-WaterCalc'!J19)</f>
        <v/>
      </c>
      <c r="J5" s="129" t="s">
        <v>52</v>
      </c>
      <c r="K5" s="129">
        <f>IF('Input-WaterCalc'!G37="",'Input-WaterCalc'!E37,'Input-WaterCalc'!G37)</f>
        <v>5</v>
      </c>
      <c r="L5" s="129" t="s">
        <v>57</v>
      </c>
      <c r="M5" s="131"/>
      <c r="N5" s="130" t="str">
        <f>IFERROR('Input-WaterCalc'!E54/1000,"")</f>
        <v/>
      </c>
      <c r="O5" s="130" t="str">
        <f>IFERROR('Input-WaterCalc'!G54/1000,"")</f>
        <v/>
      </c>
      <c r="P5" s="130" t="str">
        <f>IFERROR('Input-WaterCalc'!I54/1000,"")</f>
        <v/>
      </c>
      <c r="Q5" s="81"/>
    </row>
    <row r="6" spans="1:17">
      <c r="A6" s="129"/>
      <c r="B6" s="129" t="s">
        <v>495</v>
      </c>
      <c r="C6" s="129" t="str">
        <f>IF('Input-WaterCalc'!E21="","",'Input-WaterCalc'!E21)</f>
        <v/>
      </c>
      <c r="D6" s="129" t="str">
        <f>IF('Input-WaterCalc'!E22="","",'Input-WaterCalc'!E22)</f>
        <v/>
      </c>
      <c r="E6" s="129" t="str">
        <f>IF('Input-WaterCalc'!F21="","",'Input-WaterCalc'!F21)</f>
        <v/>
      </c>
      <c r="F6" s="129" t="str">
        <f>IF('Input-WaterCalc'!F22="","",'Input-WaterCalc'!F22)</f>
        <v/>
      </c>
      <c r="G6" s="129" t="str">
        <f>IF('Input-WaterCalc'!H21="","",'Input-WaterCalc'!H21)</f>
        <v/>
      </c>
      <c r="H6" s="129" t="str">
        <f>IF('Input-WaterCalc'!H22="","",'Input-WaterCalc'!H22)</f>
        <v/>
      </c>
      <c r="I6" s="129" t="str">
        <f>IF('Input-WaterCalc'!J21="","",'Input-WaterCalc'!J21)</f>
        <v/>
      </c>
      <c r="J6" s="129" t="s">
        <v>94</v>
      </c>
      <c r="K6" s="129">
        <f>IF('Input-WaterCalc'!G38="",'Input-WaterCalc'!E38,'Input-WaterCalc'!G38)</f>
        <v>0.4</v>
      </c>
      <c r="L6" s="129" t="s">
        <v>95</v>
      </c>
      <c r="M6" s="131"/>
      <c r="N6" s="130" t="str">
        <f>IFERROR('Input-WaterCalc'!E55/1000,"")</f>
        <v/>
      </c>
      <c r="O6" s="130" t="str">
        <f>IFERROR('Input-WaterCalc'!G55/1000,"")</f>
        <v/>
      </c>
      <c r="P6" s="130" t="str">
        <f>IFERROR('Input-WaterCalc'!I55/1000,"")</f>
        <v/>
      </c>
      <c r="Q6" s="81"/>
    </row>
    <row r="7" spans="1:17">
      <c r="A7" s="129"/>
      <c r="B7" s="129" t="s">
        <v>496</v>
      </c>
      <c r="C7" s="129" t="str">
        <f>IF('Input-WaterCalc'!E23="","",'Input-WaterCalc'!E23)</f>
        <v/>
      </c>
      <c r="D7" s="129" t="str">
        <f>IF('Input-WaterCalc'!E24="","",'Input-WaterCalc'!E24)</f>
        <v/>
      </c>
      <c r="E7" s="129" t="str">
        <f>IF('Input-WaterCalc'!F23="","",'Input-WaterCalc'!F23)</f>
        <v/>
      </c>
      <c r="F7" s="129" t="str">
        <f>IF('Input-WaterCalc'!F24="","",'Input-WaterCalc'!F24)</f>
        <v/>
      </c>
      <c r="G7" s="129" t="str">
        <f>IF('Input-WaterCalc'!H23="","",'Input-WaterCalc'!H23)</f>
        <v/>
      </c>
      <c r="H7" s="129" t="str">
        <f>IF('Input-WaterCalc'!H24="","",'Input-WaterCalc'!H24)</f>
        <v/>
      </c>
      <c r="I7" s="129" t="str">
        <f>IF('Input-WaterCalc'!J23="","",'Input-WaterCalc'!J23)</f>
        <v/>
      </c>
      <c r="J7" s="129" t="s">
        <v>94</v>
      </c>
      <c r="K7" s="129">
        <f>IF('Input-WaterCalc'!G39="",'Input-WaterCalc'!E39,'Input-WaterCalc'!G39)</f>
        <v>0.2</v>
      </c>
      <c r="L7" s="129" t="s">
        <v>95</v>
      </c>
      <c r="M7" s="131"/>
      <c r="N7" s="130" t="str">
        <f>IFERROR('Input-WaterCalc'!E56/1000,"")</f>
        <v/>
      </c>
      <c r="O7" s="130" t="str">
        <f>IFERROR('Input-WaterCalc'!G56/1000,"")</f>
        <v/>
      </c>
      <c r="P7" s="130" t="str">
        <f>IFERROR('Input-WaterCalc'!I56/1000,"")</f>
        <v/>
      </c>
      <c r="Q7" s="81"/>
    </row>
    <row r="8" spans="1:17">
      <c r="A8" s="129"/>
      <c r="B8" s="129" t="s">
        <v>108</v>
      </c>
      <c r="C8" s="129" t="str">
        <f>IF('Input-WaterCalc'!E25="","",'Input-WaterCalc'!E25)</f>
        <v/>
      </c>
      <c r="D8" s="129" t="str">
        <f>IF('Input-WaterCalc'!E26="","",'Input-WaterCalc'!E26)</f>
        <v/>
      </c>
      <c r="E8" s="129" t="str">
        <f>IF('Input-WaterCalc'!F25="","",'Input-WaterCalc'!F25)</f>
        <v/>
      </c>
      <c r="F8" s="129" t="str">
        <f>IF('Input-WaterCalc'!F26="","",'Input-WaterCalc'!F26)</f>
        <v/>
      </c>
      <c r="G8" s="129" t="str">
        <f>IF('Input-WaterCalc'!H25="","",'Input-WaterCalc'!H25)</f>
        <v/>
      </c>
      <c r="H8" s="129" t="str">
        <f>IF('Input-WaterCalc'!H26="","",'Input-WaterCalc'!H26)</f>
        <v/>
      </c>
      <c r="I8" s="129" t="str">
        <f>IF('Input-WaterCalc'!J25="","",'Input-WaterCalc'!J25)</f>
        <v/>
      </c>
      <c r="J8" s="129" t="s">
        <v>113</v>
      </c>
      <c r="K8" s="129">
        <f>IF('Input-WaterCalc'!G40="",'Input-WaterCalc'!E40,'Input-WaterCalc'!G40)</f>
        <v>0.2</v>
      </c>
      <c r="L8" s="129" t="s">
        <v>114</v>
      </c>
      <c r="M8" s="131"/>
      <c r="N8" s="130" t="str">
        <f>IFERROR('Input-WaterCalc'!E57/1000,"")</f>
        <v/>
      </c>
      <c r="O8" s="130" t="str">
        <f>IFERROR('Input-WaterCalc'!G57/1000,"")</f>
        <v/>
      </c>
      <c r="P8" s="130" t="str">
        <f>IFERROR('Input-WaterCalc'!I57/1000,"")</f>
        <v/>
      </c>
      <c r="Q8" s="81"/>
    </row>
    <row r="9" spans="1:17">
      <c r="A9" s="129"/>
      <c r="B9" s="129" t="s">
        <v>30</v>
      </c>
      <c r="C9" s="131"/>
      <c r="D9" s="131"/>
      <c r="E9" s="131"/>
      <c r="F9" s="131"/>
      <c r="G9" s="131"/>
      <c r="H9" s="131"/>
      <c r="I9" s="131"/>
      <c r="J9" s="131" t="s">
        <v>23</v>
      </c>
      <c r="K9" s="131"/>
      <c r="L9" s="131" t="s">
        <v>23</v>
      </c>
      <c r="M9" s="131"/>
      <c r="N9" s="130" t="str">
        <f>IFERROR('Input-WaterCalc'!E58/1000,"")</f>
        <v/>
      </c>
      <c r="O9" s="130">
        <f>IFERROR('Input-WaterCalc'!G58/1000,"")</f>
        <v>0</v>
      </c>
      <c r="P9" s="130" t="str">
        <f>IFERROR('Input-WaterCalc'!I58/1000,"")</f>
        <v/>
      </c>
      <c r="Q9" s="81"/>
    </row>
    <row r="10" spans="1:17">
      <c r="A10" s="129"/>
      <c r="B10" s="129" t="str">
        <f>IF('Input-WaterCalc'!C59="","",'Input-WaterCalc'!C59)</f>
        <v/>
      </c>
      <c r="C10" s="131"/>
      <c r="D10" s="131"/>
      <c r="E10" s="131"/>
      <c r="F10" s="131"/>
      <c r="G10" s="131"/>
      <c r="H10" s="131"/>
      <c r="I10" s="131"/>
      <c r="J10" s="131" t="s">
        <v>23</v>
      </c>
      <c r="K10" s="131"/>
      <c r="L10" s="131" t="s">
        <v>23</v>
      </c>
      <c r="M10" s="131"/>
      <c r="N10" s="130">
        <f>IFERROR('Input-WaterCalc'!E59/1000,"")</f>
        <v>0</v>
      </c>
      <c r="O10" s="130">
        <f>IFERROR('Input-WaterCalc'!G59/1000,"")</f>
        <v>0</v>
      </c>
      <c r="P10" s="130" t="str">
        <f>IFERROR('Input-WaterCalc'!I59/1000,"")</f>
        <v/>
      </c>
      <c r="Q10" s="81"/>
    </row>
    <row r="11" spans="1:17">
      <c r="A11" s="129"/>
      <c r="B11" s="129" t="str">
        <f>IF('Input-WaterCalc'!C60="","",'Input-WaterCalc'!C60)</f>
        <v/>
      </c>
      <c r="C11" s="131"/>
      <c r="D11" s="131"/>
      <c r="E11" s="131"/>
      <c r="F11" s="131"/>
      <c r="G11" s="131"/>
      <c r="H11" s="131"/>
      <c r="I11" s="131"/>
      <c r="J11" s="131" t="s">
        <v>23</v>
      </c>
      <c r="K11" s="131"/>
      <c r="L11" s="131" t="s">
        <v>23</v>
      </c>
      <c r="M11" s="131"/>
      <c r="N11" s="130">
        <f>IFERROR('Input-WaterCalc'!E60/1000,"")</f>
        <v>0</v>
      </c>
      <c r="O11" s="130">
        <f>IFERROR('Input-WaterCalc'!G60/1000,"")</f>
        <v>0</v>
      </c>
      <c r="P11" s="130" t="str">
        <f>IFERROR('Input-WaterCalc'!I60/1000,"")</f>
        <v/>
      </c>
      <c r="Q11" s="81"/>
    </row>
    <row r="12" spans="1:17">
      <c r="A12" s="129"/>
      <c r="B12" s="129" t="str">
        <f>IF('Input-WaterCalc'!C61="","",'Input-WaterCalc'!C61)</f>
        <v/>
      </c>
      <c r="C12" s="131" t="str">
        <f>IF('Input-WaterCalc'!E27="","",'Input-WaterCalc'!E27)</f>
        <v/>
      </c>
      <c r="D12" s="131"/>
      <c r="E12" s="131"/>
      <c r="F12" s="131"/>
      <c r="G12" s="131"/>
      <c r="H12" s="131"/>
      <c r="I12" s="131"/>
      <c r="J12" s="131" t="s">
        <v>23</v>
      </c>
      <c r="K12" s="131"/>
      <c r="L12" s="131" t="s">
        <v>23</v>
      </c>
      <c r="M12" s="131"/>
      <c r="N12" s="130">
        <f>IFERROR('Input-WaterCalc'!E61/1000,"")</f>
        <v>0</v>
      </c>
      <c r="O12" s="130">
        <f>IFERROR('Input-WaterCalc'!G61/1000,"")</f>
        <v>0</v>
      </c>
      <c r="P12" s="130" t="str">
        <f>IFERROR('Input-WaterCalc'!I61/1000,"")</f>
        <v/>
      </c>
      <c r="Q12" s="81"/>
    </row>
    <row r="13" spans="1:17">
      <c r="A13" s="129"/>
      <c r="B13" s="129" t="str">
        <f>IF('Input-WaterCalc'!C62="","",'Input-WaterCalc'!C62)</f>
        <v/>
      </c>
      <c r="C13" s="131"/>
      <c r="D13" s="131"/>
      <c r="E13" s="131"/>
      <c r="F13" s="131"/>
      <c r="G13" s="131"/>
      <c r="H13" s="131"/>
      <c r="I13" s="131"/>
      <c r="J13" s="131" t="s">
        <v>23</v>
      </c>
      <c r="K13" s="131"/>
      <c r="L13" s="131" t="s">
        <v>23</v>
      </c>
      <c r="M13" s="131"/>
      <c r="N13" s="130">
        <f>IFERROR('Input-WaterCalc'!E62/1000,"")</f>
        <v>0</v>
      </c>
      <c r="O13" s="130">
        <f>IFERROR('Input-WaterCalc'!G62/1000,"")</f>
        <v>0</v>
      </c>
      <c r="P13" s="130" t="str">
        <f>IFERROR('Input-WaterCalc'!I62/1000,"")</f>
        <v/>
      </c>
      <c r="Q13" s="81"/>
    </row>
    <row r="16" spans="1:17">
      <c r="I16" s="80"/>
    </row>
    <row r="18" spans="8:9">
      <c r="H18" s="80"/>
      <c r="I18" s="80"/>
    </row>
    <row r="20" spans="8:9">
      <c r="I20" s="80"/>
    </row>
    <row r="22" spans="8:9">
      <c r="I22" s="80"/>
    </row>
    <row r="24" spans="8:9">
      <c r="I24" s="80"/>
    </row>
    <row r="26" spans="8:9">
      <c r="I26" s="80"/>
    </row>
    <row r="28" spans="8:9">
      <c r="I28" s="80"/>
    </row>
    <row r="29" spans="8:9">
      <c r="I29" s="80"/>
    </row>
    <row r="30" spans="8:9">
      <c r="I30" s="80"/>
    </row>
  </sheetData>
  <pageMargins left="0.7" right="0.7" top="0.75" bottom="0.75" header="0.3" footer="0.3"/>
  <pageSetup orientation="portrait" r:id="rId1"/>
  <headerFooter>
    <oddFooter>&amp;CConfidential - Internal Distribution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9"/>
  <sheetViews>
    <sheetView workbookViewId="0">
      <selection activeCell="I30" sqref="I30"/>
    </sheetView>
  </sheetViews>
  <sheetFormatPr defaultRowHeight="15"/>
  <cols>
    <col min="2" max="17" width="16.7109375" customWidth="1"/>
  </cols>
  <sheetData>
    <row r="1" spans="1:25" s="5" customFormat="1">
      <c r="A1" s="113" t="s">
        <v>387</v>
      </c>
      <c r="B1" s="114" t="s">
        <v>678</v>
      </c>
      <c r="C1" s="114" t="s">
        <v>679</v>
      </c>
      <c r="D1" s="114" t="s">
        <v>677</v>
      </c>
      <c r="E1" s="113" t="s">
        <v>790</v>
      </c>
      <c r="F1" s="113" t="s">
        <v>791</v>
      </c>
      <c r="G1" s="113" t="s">
        <v>697</v>
      </c>
      <c r="H1" s="113" t="s">
        <v>698</v>
      </c>
      <c r="I1" s="113" t="s">
        <v>699</v>
      </c>
      <c r="J1" s="113" t="s">
        <v>700</v>
      </c>
      <c r="K1" s="113" t="s">
        <v>701</v>
      </c>
      <c r="L1" s="113" t="s">
        <v>702</v>
      </c>
      <c r="M1" s="113" t="s">
        <v>671</v>
      </c>
      <c r="N1" s="114" t="s">
        <v>680</v>
      </c>
      <c r="O1" s="114" t="s">
        <v>681</v>
      </c>
      <c r="P1" s="113" t="s">
        <v>792</v>
      </c>
      <c r="Q1" s="114" t="s">
        <v>694</v>
      </c>
      <c r="R1" s="114" t="s">
        <v>672</v>
      </c>
      <c r="S1" s="114" t="s">
        <v>673</v>
      </c>
      <c r="T1" s="114" t="s">
        <v>696</v>
      </c>
      <c r="U1" s="104"/>
      <c r="V1" s="104"/>
      <c r="W1" s="104"/>
      <c r="X1" s="104"/>
      <c r="Y1" s="104"/>
    </row>
    <row r="2" spans="1:25">
      <c r="A2" s="3"/>
      <c r="B2" s="3" t="str">
        <f>IF('Input-Utilities'!C18="", "", 'Input-Utilities'!C18)</f>
        <v/>
      </c>
      <c r="C2" s="3" t="str">
        <f>IF('Input-Utilities'!D18="", "", 'Input-Utilities'!D18)</f>
        <v/>
      </c>
      <c r="D2" s="3" t="str">
        <f>IF('Input-Utilities'!E18="", "", 'Input-Utilities'!E18)</f>
        <v/>
      </c>
      <c r="E2" s="3" t="str">
        <f>IF('Input-Utilities'!G18="", "",IFERROR('Input-Utilities'!G18*INDEX(Assumptions!$D$6:$D$22,MATCH("kWh",Assumptions!$C$6:$C$22,0))/1000,""))</f>
        <v/>
      </c>
      <c r="F2" s="3" t="str">
        <f>IF('Input-Utilities'!I18="", "", IFERROR('Input-Utilities'!I18*INDEX(Assumptions!$D$6:$D$22,MATCH("kWh",Assumptions!$C$6:$C$22,0))/1000,""))</f>
        <v/>
      </c>
      <c r="G2" s="116" t="b">
        <v>0</v>
      </c>
      <c r="H2" s="116" t="b">
        <v>0</v>
      </c>
      <c r="I2" s="116" t="b">
        <v>0</v>
      </c>
      <c r="J2" s="116" t="b">
        <v>0</v>
      </c>
      <c r="K2" s="116" t="b">
        <v>0</v>
      </c>
      <c r="L2" s="116" t="str">
        <f>IF('Input-Solar'!G10="", "", 'Input-Solar'!G10)</f>
        <v/>
      </c>
      <c r="M2" s="116" t="str">
        <f>IF('Input-Solar'!F15="", "", 'Input-Solar'!F15)</f>
        <v/>
      </c>
      <c r="N2" s="116" t="str">
        <f>IF('Input-Solar'!F21="", "", 'Input-Solar'!F21)</f>
        <v/>
      </c>
      <c r="O2" s="116" t="str">
        <f>IF('Input-Solar'!F22="", "", 'Input-Solar'!F22)</f>
        <v/>
      </c>
      <c r="P2" s="116" t="str">
        <f>IF('Input-Solar'!F23="", "", IFERROR('Input-Solar'!F23*INDEX(Assumptions!$D$6:$D$22,MATCH("kWh",Assumptions!$C$6:$C$22,0))/1000,""))</f>
        <v/>
      </c>
      <c r="Q2" s="116" t="str">
        <f>IF('Input-Solar'!F12="", "", 'Input-Solar'!F12)</f>
        <v/>
      </c>
      <c r="R2" s="116" t="str">
        <f>IF('Input-Solar'!F13="", "", 'Input-Solar'!F13)</f>
        <v/>
      </c>
      <c r="S2" s="116" t="str">
        <f>IF('Input-Solar'!F27="", "", 'Input-Solar'!F27)</f>
        <v/>
      </c>
      <c r="T2" s="116" t="str">
        <f>IF('Input-Solar'!F28="", "", 'Input-Solar'!F28)</f>
        <v/>
      </c>
      <c r="U2" s="4"/>
      <c r="V2" s="4"/>
      <c r="W2" s="4"/>
      <c r="X2" s="4"/>
      <c r="Y2" s="4"/>
    </row>
    <row r="6" spans="1:25">
      <c r="S6" s="51"/>
    </row>
    <row r="9" spans="1:25">
      <c r="G9" s="5"/>
      <c r="H9" s="5"/>
      <c r="I9" s="5"/>
      <c r="J9" s="5"/>
      <c r="K9" s="5"/>
      <c r="L9" s="5"/>
    </row>
  </sheetData>
  <pageMargins left="0.7" right="0.7" top="0.75" bottom="0.75" header="0.3" footer="0.3"/>
  <pageSetup orientation="portrait" r:id="rId1"/>
  <headerFooter>
    <oddFooter>&amp;CConfidential - Internal Distribution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N31"/>
  <sheetViews>
    <sheetView workbookViewId="0">
      <selection activeCell="I38" sqref="I38"/>
    </sheetView>
  </sheetViews>
  <sheetFormatPr defaultRowHeight="15"/>
  <cols>
    <col min="1" max="1" width="7.7109375" customWidth="1"/>
    <col min="5" max="5" width="36.7109375" customWidth="1"/>
    <col min="19" max="25" width="18.7109375" customWidth="1"/>
    <col min="26" max="32" width="18.28515625" customWidth="1"/>
    <col min="33" max="33" width="16.7109375" customWidth="1"/>
    <col min="34" max="34" width="13.28515625" customWidth="1"/>
    <col min="35" max="35" width="16.28515625" customWidth="1"/>
  </cols>
  <sheetData>
    <row r="1" spans="1:40">
      <c r="A1" s="114" t="s">
        <v>387</v>
      </c>
      <c r="B1" s="113" t="s">
        <v>361</v>
      </c>
      <c r="C1" s="114" t="s">
        <v>209</v>
      </c>
      <c r="D1" s="114" t="s">
        <v>210</v>
      </c>
      <c r="E1" s="114" t="s">
        <v>212</v>
      </c>
      <c r="F1" s="114" t="s">
        <v>211</v>
      </c>
      <c r="G1" s="114" t="s">
        <v>472</v>
      </c>
      <c r="H1" s="114" t="s">
        <v>213</v>
      </c>
      <c r="I1" s="114" t="s">
        <v>416</v>
      </c>
      <c r="J1" s="113" t="s">
        <v>417</v>
      </c>
      <c r="K1" s="114" t="s">
        <v>214</v>
      </c>
      <c r="L1" s="114" t="s">
        <v>215</v>
      </c>
      <c r="M1" s="113" t="s">
        <v>571</v>
      </c>
      <c r="N1" s="114" t="s">
        <v>572</v>
      </c>
      <c r="O1" s="114" t="s">
        <v>216</v>
      </c>
      <c r="P1" s="113" t="s">
        <v>574</v>
      </c>
      <c r="Q1" s="114" t="s">
        <v>573</v>
      </c>
      <c r="R1" s="114" t="s">
        <v>217</v>
      </c>
      <c r="S1" s="113" t="s">
        <v>580</v>
      </c>
      <c r="T1" s="113" t="s">
        <v>705</v>
      </c>
      <c r="U1" s="113" t="s">
        <v>725</v>
      </c>
      <c r="V1" s="113" t="s">
        <v>726</v>
      </c>
      <c r="W1" s="113" t="s">
        <v>727</v>
      </c>
      <c r="X1" s="113" t="s">
        <v>706</v>
      </c>
      <c r="Y1" s="113" t="s">
        <v>707</v>
      </c>
      <c r="Z1" s="113" t="s">
        <v>579</v>
      </c>
      <c r="AA1" s="113" t="s">
        <v>708</v>
      </c>
      <c r="AB1" s="113" t="s">
        <v>728</v>
      </c>
      <c r="AC1" s="113" t="s">
        <v>729</v>
      </c>
      <c r="AD1" s="113" t="s">
        <v>730</v>
      </c>
      <c r="AE1" s="113" t="s">
        <v>709</v>
      </c>
      <c r="AF1" s="113" t="s">
        <v>710</v>
      </c>
      <c r="AG1" s="113" t="s">
        <v>737</v>
      </c>
      <c r="AH1" s="113" t="s">
        <v>736</v>
      </c>
      <c r="AI1" s="113" t="s">
        <v>576</v>
      </c>
      <c r="AJ1" s="114" t="s">
        <v>218</v>
      </c>
      <c r="AK1" s="114" t="s">
        <v>219</v>
      </c>
      <c r="AL1" s="113" t="s">
        <v>508</v>
      </c>
      <c r="AM1" s="114" t="s">
        <v>575</v>
      </c>
      <c r="AN1" s="114" t="s">
        <v>738</v>
      </c>
    </row>
    <row r="2" spans="1:40">
      <c r="A2" s="3"/>
      <c r="B2" s="116" t="str">
        <f>IF('Input-EWEMs'!D12="","",IF(COUNTIF('Input-EWEMs'!C$52:C$61,'Input-EWEMs'!C12)&lt;1,'Lender Validation'!B41,"No"))</f>
        <v/>
      </c>
      <c r="C2" s="3" t="str">
        <f>IF('Input-EWEMs'!$D12="", "", 'Input-EWEMs'!C12)</f>
        <v/>
      </c>
      <c r="D2" s="3" t="str">
        <f>IF('Input-EWEMs'!$D12="", "", 'Input-EWEMs'!D12)</f>
        <v/>
      </c>
      <c r="E2" s="3" t="str">
        <f>IF('Input-EWEMs'!$D12="", "", IFERROR(INDEX('Reference-MeasureList'!$O$47:$O$50,MATCH('Input-EWEMs'!E12,'Reference-MeasureList'!$J$47:$J$50,0)),'Input-EWEMs'!E12))</f>
        <v/>
      </c>
      <c r="F2" s="3" t="str">
        <f>IF('Input-EWEMs'!$D12="", "", 'Input-EWEMs'!F12)</f>
        <v/>
      </c>
      <c r="G2" s="3" t="str">
        <f>IF('Input-EWEMs'!$D12="", "", 'Input-EWEMs'!G12)</f>
        <v/>
      </c>
      <c r="H2" s="3" t="str">
        <f>IF('Input-EWEMs'!$H12="", "", 'Input-EWEMs'!H12)</f>
        <v/>
      </c>
      <c r="I2" s="3" t="str">
        <f>IF('Input-EWEMs'!$I12="", "", 'Input-EWEMs'!I12)</f>
        <v/>
      </c>
      <c r="J2" s="3" t="str">
        <f>IF('Input-EWEMs'!$I12="", "", I2/'DB-Properties'!$K$2)</f>
        <v/>
      </c>
      <c r="K2" s="116" t="str">
        <f>IF('Input-EWEMs'!$D12="", "",ROUND('Input-EWEMs'!K12,0))</f>
        <v/>
      </c>
      <c r="L2" s="116" t="str">
        <f>IF('Input-EWEMs'!$D12="", "",SUM(O2,R2))</f>
        <v/>
      </c>
      <c r="M2" s="116" t="str">
        <f>IF('Input-EWEMs'!$D12="", "",ROUND('Input-EWEMs'!L12,0))</f>
        <v/>
      </c>
      <c r="N2" s="116" t="str">
        <f>IF('Input-EWEMs'!$D12="", "",ROUND('Input-EWEMs'!M12,0))</f>
        <v/>
      </c>
      <c r="O2" s="116" t="str">
        <f>IF('Input-EWEMs'!$D12="", "",ROUND('Input-EWEMs'!N12,0))</f>
        <v/>
      </c>
      <c r="P2" s="116" t="str">
        <f>IF('Input-EWEMs'!$D12="", "",ROUND('Input-EWEMs'!O12,0))</f>
        <v/>
      </c>
      <c r="Q2" s="116" t="str">
        <f>IF('Input-EWEMs'!$D12="", "",ROUND('Input-EWEMs'!P12,0))</f>
        <v/>
      </c>
      <c r="R2" s="116" t="str">
        <f>IF('Input-EWEMs'!$D12="", "",ROUND('Input-EWEMs'!Q12,0))</f>
        <v/>
      </c>
      <c r="S2" s="116" t="str">
        <f>IF('Input-EWEMs'!$D12="", "",'Input-EWEMs'!V12)</f>
        <v/>
      </c>
      <c r="T2" s="116" t="str">
        <f>IF('Input-EWEMs'!$D12="", "",IFERROR(INDEX('Input-EWEMs'!$W12:$X12,MATCH("Natural Gas",'Input-EWEMs'!$W$10:$X$10,0)),0))</f>
        <v/>
      </c>
      <c r="U2" s="116" t="str">
        <f>IF('Input-EWEMs'!$D12="", "",IFERROR(INDEX('Input-EWEMs'!$W12:$X12,MATCH("Fuel Oil #2",'Input-EWEMs'!$W$10:$X$10,0)),0))</f>
        <v/>
      </c>
      <c r="V2" s="116" t="str">
        <f>IF('Input-EWEMs'!$D12="", "",IFERROR(INDEX('Input-EWEMs'!$W12:$X12,MATCH("Fuel Oil #4",'Input-EWEMs'!$W$10:$X$10,0)),0))</f>
        <v/>
      </c>
      <c r="W2" s="116" t="str">
        <f>IF('Input-EWEMs'!$D12="", "",IFERROR(INDEX('Input-EWEMs'!$W12:$X12,MATCH("Fuel Oil #6",'Input-EWEMs'!$W$10:$X$10,0)),0))</f>
        <v/>
      </c>
      <c r="X2" s="116" t="str">
        <f>IF('Input-EWEMs'!$D12="", "",IFERROR(INDEX('Input-EWEMs'!$W12:$X12,MATCH("District Steam",'Input-EWEMs'!$W$10:$X$10,0)),0))</f>
        <v/>
      </c>
      <c r="Y2" s="116" t="str">
        <f>IF('Input-EWEMs'!$D12="", "",IFERROR(INDEX('Input-EWEMs'!$W12:$X12,MATCH("Propane",'Input-EWEMs'!$W$10:$X$10,0)),0))</f>
        <v/>
      </c>
      <c r="Z2" s="116" t="str">
        <f>IF('Input-EWEMs'!$D12="", "",'Input-EWEMs'!Y12)</f>
        <v/>
      </c>
      <c r="AA2" s="116" t="str">
        <f>IF('Input-EWEMs'!$D12="", "",IFERROR(INDEX('Input-EWEMs'!$Z12:$AA12,MATCH("Natural Gas",'Input-EWEMs'!$Z$10:$AA$10,0)),0))</f>
        <v/>
      </c>
      <c r="AB2" s="116" t="str">
        <f>IF('Input-EWEMs'!$D12="", "",IFERROR(INDEX('Input-EWEMs'!$Z12:$AA12,MATCH("Fuel Oil #2",'Input-EWEMs'!$Z$10:$AA$10,0)),0))</f>
        <v/>
      </c>
      <c r="AC2" s="116" t="str">
        <f>IF('Input-EWEMs'!$D12="", "",IFERROR(INDEX('Input-EWEMs'!$Z12:$AA12,MATCH("Fuel Oil #4",'Input-EWEMs'!$Z$10:$AA$10,0)),0))</f>
        <v/>
      </c>
      <c r="AD2" s="116" t="str">
        <f>IF('Input-EWEMs'!$D12="", "",IFERROR(INDEX('Input-EWEMs'!$Z12:$AA12,MATCH("Fuel Oil #6",'Input-EWEMs'!$Z$10:$AA$10,0)),0))</f>
        <v/>
      </c>
      <c r="AE2" s="116" t="str">
        <f>IF('Input-EWEMs'!$D12="", "",IFERROR(INDEX('Input-EWEMs'!$Z12:$AA12,MATCH("District Steam",'Input-EWEMs'!$Z$10:$AA$10,0)),0))</f>
        <v/>
      </c>
      <c r="AF2" s="116" t="str">
        <f>IF('Input-EWEMs'!$D12="", "",IFERROR(INDEX('Input-EWEMs'!$Z12:$AA12,MATCH("Propane",'Input-EWEMs'!$Z$10:$AA$10,0)),0))</f>
        <v/>
      </c>
      <c r="AG2" s="116" t="str">
        <f>IF('Input-EWEMs'!$D12="", "",SUM(S2:Y2))</f>
        <v/>
      </c>
      <c r="AH2" s="116" t="str">
        <f>IF('Input-EWEMs'!$D12="", "",SUM(Z2:AF2))</f>
        <v/>
      </c>
      <c r="AI2" s="116" t="str">
        <f>IF('Input-EWEMs'!$D12="", "",'Input-EWEMs'!AD12)</f>
        <v/>
      </c>
      <c r="AJ2" s="3" t="str">
        <f>IF('Input-EWEMs'!$D12="", "",'Input-EWEMs'!AF12)</f>
        <v/>
      </c>
      <c r="AK2" s="3" t="str">
        <f>IF('Input-EWEMs'!$D12="", "",'Input-EWEMs'!AG12)</f>
        <v/>
      </c>
      <c r="AL2" s="116" t="str">
        <f>IF('Input-EWEMs'!$D12="", "",'Input-EWEMs'!AH12)</f>
        <v/>
      </c>
      <c r="AM2" s="116" t="str">
        <f t="shared" ref="AM2:AM21" si="0">IFERROR(L2*AL2,"")</f>
        <v/>
      </c>
      <c r="AN2" s="116" t="str">
        <f>IF('Input-EWEMs'!$D12="", "",IFERROR('Input-EWEMs'!R12*INDEX(Assumptions!$H$6:$H$22,MATCH('Input-EWEMs'!R$11,Assumptions!$C$6:$C$22,0)),0)+IFERROR('Input-EWEMs'!S12*INDEX(Assumptions!$H$6:$H$22,MATCH('Input-EWEMs'!S$11,Assumptions!$C$6:$C$22,0)),0)+IFERROR('Input-EWEMs'!T12*INDEX(Assumptions!$H$6:$H$22,MATCH('Input-EWEMs'!T$11,Assumptions!$C$6:$C$22,0)),0))</f>
        <v/>
      </c>
    </row>
    <row r="3" spans="1:40">
      <c r="A3" s="3"/>
      <c r="B3" s="116" t="str">
        <f>IF('Input-EWEMs'!D13="","",IF(COUNTIF('Input-EWEMs'!C$52:C$61,'Input-EWEMs'!C13)&lt;1,'Lender Validation'!B42,"No"))</f>
        <v/>
      </c>
      <c r="C3" s="3" t="str">
        <f>IF('Input-EWEMs'!$D13="", "", 'Input-EWEMs'!C13)</f>
        <v/>
      </c>
      <c r="D3" s="3" t="str">
        <f>IF('Input-EWEMs'!$D13="", "", 'Input-EWEMs'!D13)</f>
        <v/>
      </c>
      <c r="E3" s="3" t="str">
        <f>IF('Input-EWEMs'!$D13="", "", IFERROR(INDEX('Reference-MeasureList'!$O$47:$O$50,MATCH('Input-EWEMs'!E13,'Reference-MeasureList'!$J$47:$J$50,0)),'Input-EWEMs'!E13))</f>
        <v/>
      </c>
      <c r="F3" s="3" t="str">
        <f>IF('Input-EWEMs'!$D13="", "", 'Input-EWEMs'!F13)</f>
        <v/>
      </c>
      <c r="G3" s="3" t="str">
        <f>IF('Input-EWEMs'!$D13="", "", 'Input-EWEMs'!G13)</f>
        <v/>
      </c>
      <c r="H3" s="3" t="str">
        <f>IF('Input-EWEMs'!$H13="", "", 'Input-EWEMs'!H13)</f>
        <v/>
      </c>
      <c r="I3" s="3" t="str">
        <f>IF('Input-EWEMs'!$I13="", "", 'Input-EWEMs'!I13)</f>
        <v/>
      </c>
      <c r="J3" s="3" t="str">
        <f>IF('Input-EWEMs'!$I13="", "", I3/'DB-Properties'!$K$2)</f>
        <v/>
      </c>
      <c r="K3" s="116" t="str">
        <f>IF('Input-EWEMs'!$D13="", "",ROUND('Input-EWEMs'!K13,0))</f>
        <v/>
      </c>
      <c r="L3" s="116" t="str">
        <f>IF('Input-EWEMs'!$D13="", "",SUM(O3,R3))</f>
        <v/>
      </c>
      <c r="M3" s="116" t="str">
        <f>IF('Input-EWEMs'!$D13="", "",ROUND('Input-EWEMs'!L13,0))</f>
        <v/>
      </c>
      <c r="N3" s="116" t="str">
        <f>IF('Input-EWEMs'!$D13="", "",ROUND('Input-EWEMs'!M13,0))</f>
        <v/>
      </c>
      <c r="O3" s="116" t="str">
        <f>IF('Input-EWEMs'!$D13="", "",ROUND('Input-EWEMs'!N13,0))</f>
        <v/>
      </c>
      <c r="P3" s="116" t="str">
        <f>IF('Input-EWEMs'!$D13="", "",ROUND('Input-EWEMs'!O13,0))</f>
        <v/>
      </c>
      <c r="Q3" s="116" t="str">
        <f>IF('Input-EWEMs'!$D13="", "",ROUND('Input-EWEMs'!P13,0))</f>
        <v/>
      </c>
      <c r="R3" s="116" t="str">
        <f>IF('Input-EWEMs'!$D13="", "",ROUND('Input-EWEMs'!Q13,0))</f>
        <v/>
      </c>
      <c r="S3" s="116" t="str">
        <f>IF('Input-EWEMs'!$D13="", "",'Input-EWEMs'!V13)</f>
        <v/>
      </c>
      <c r="T3" s="116" t="str">
        <f>IF('Input-EWEMs'!$D13="", "",IFERROR(INDEX('Input-EWEMs'!$W13:$X13,MATCH("Natural Gas",'Input-EWEMs'!$W$10:$X$10,0)),0))</f>
        <v/>
      </c>
      <c r="U3" s="116" t="str">
        <f>IF('Input-EWEMs'!$D13="", "",IFERROR(INDEX('Input-EWEMs'!$W13:$X13,MATCH("Fuel Oil #2",'Input-EWEMs'!$W$10:$X$10,0)),0))</f>
        <v/>
      </c>
      <c r="V3" s="116" t="str">
        <f>IF('Input-EWEMs'!$D13="", "",IFERROR(INDEX('Input-EWEMs'!$W13:$X13,MATCH("Fuel Oil #4",'Input-EWEMs'!$W$10:$X$10,0)),0))</f>
        <v/>
      </c>
      <c r="W3" s="116" t="str">
        <f>IF('Input-EWEMs'!$D13="", "",IFERROR(INDEX('Input-EWEMs'!$W13:$X13,MATCH("Fuel Oil #6",'Input-EWEMs'!$W$10:$X$10,0)),0))</f>
        <v/>
      </c>
      <c r="X3" s="116" t="str">
        <f>IF('Input-EWEMs'!$D13="", "",IFERROR(INDEX('Input-EWEMs'!$W13:$X13,MATCH("District Steam",'Input-EWEMs'!$W$10:$X$10,0)),0))</f>
        <v/>
      </c>
      <c r="Y3" s="116" t="str">
        <f>IF('Input-EWEMs'!$D13="", "",IFERROR(INDEX('Input-EWEMs'!$W13:$X13,MATCH("Propane",'Input-EWEMs'!$W$10:$X$10,0)),0))</f>
        <v/>
      </c>
      <c r="Z3" s="116" t="str">
        <f>IF('Input-EWEMs'!$D13="", "",'Input-EWEMs'!Y13)</f>
        <v/>
      </c>
      <c r="AA3" s="116" t="str">
        <f>IF('Input-EWEMs'!$D13="", "",IFERROR(INDEX('Input-EWEMs'!$Z13:$AA13,MATCH("Natural Gas",'Input-EWEMs'!$Z$10:$AA$10,0)),0))</f>
        <v/>
      </c>
      <c r="AB3" s="116" t="str">
        <f>IF('Input-EWEMs'!$D13="", "",IFERROR(INDEX('Input-EWEMs'!$Z13:$AA13,MATCH("Fuel Oil #2",'Input-EWEMs'!$Z$10:$AA$10,0)),0))</f>
        <v/>
      </c>
      <c r="AC3" s="116" t="str">
        <f>IF('Input-EWEMs'!$D13="", "",IFERROR(INDEX('Input-EWEMs'!$Z13:$AA13,MATCH("Fuel Oil #4",'Input-EWEMs'!$Z$10:$AA$10,0)),0))</f>
        <v/>
      </c>
      <c r="AD3" s="116" t="str">
        <f>IF('Input-EWEMs'!$D13="", "",IFERROR(INDEX('Input-EWEMs'!$Z13:$AA13,MATCH("Fuel Oil #6",'Input-EWEMs'!$Z$10:$AA$10,0)),0))</f>
        <v/>
      </c>
      <c r="AE3" s="116" t="str">
        <f>IF('Input-EWEMs'!$D13="", "",IFERROR(INDEX('Input-EWEMs'!$Z13:$AA13,MATCH("District Steam",'Input-EWEMs'!$Z$10:$AA$10,0)),0))</f>
        <v/>
      </c>
      <c r="AF3" s="116" t="str">
        <f>IF('Input-EWEMs'!$D13="", "",IFERROR(INDEX('Input-EWEMs'!$Z13:$AA13,MATCH("Propane",'Input-EWEMs'!$Z$10:$AA$10,0)),0))</f>
        <v/>
      </c>
      <c r="AG3" s="116" t="str">
        <f>IF('Input-EWEMs'!$D13="", "",SUM(S3:Y3))</f>
        <v/>
      </c>
      <c r="AH3" s="116" t="str">
        <f>IF('Input-EWEMs'!$D13="", "",SUM(Z3:AF3))</f>
        <v/>
      </c>
      <c r="AI3" s="116" t="str">
        <f>IF('Input-EWEMs'!$D13="", "",'Input-EWEMs'!AD13)</f>
        <v/>
      </c>
      <c r="AJ3" s="3" t="str">
        <f>IF('Input-EWEMs'!$D13="", "",'Input-EWEMs'!AF13)</f>
        <v/>
      </c>
      <c r="AK3" s="3" t="str">
        <f>IF('Input-EWEMs'!$D13="", "",'Input-EWEMs'!AG13)</f>
        <v/>
      </c>
      <c r="AL3" s="116" t="str">
        <f>IF('Input-EWEMs'!$D13="", "",'Input-EWEMs'!AH13)</f>
        <v/>
      </c>
      <c r="AM3" s="116" t="str">
        <f t="shared" si="0"/>
        <v/>
      </c>
      <c r="AN3" s="116" t="str">
        <f>IF('Input-EWEMs'!$D13="", "",IFERROR('Input-EWEMs'!R13*INDEX(Assumptions!$H$6:$H$22,MATCH('Input-EWEMs'!R$11,Assumptions!$C$6:$C$22,0)),0)+IFERROR('Input-EWEMs'!S13*INDEX(Assumptions!$H$6:$H$22,MATCH('Input-EWEMs'!S$11,Assumptions!$C$6:$C$22,0)),0)+IFERROR('Input-EWEMs'!T13*INDEX(Assumptions!$H$6:$H$22,MATCH('Input-EWEMs'!T$11,Assumptions!$C$6:$C$22,0)),0))</f>
        <v/>
      </c>
    </row>
    <row r="4" spans="1:40">
      <c r="A4" s="3"/>
      <c r="B4" s="116" t="str">
        <f>IF('Input-EWEMs'!D14="","",IF(COUNTIF('Input-EWEMs'!C$52:C$61,'Input-EWEMs'!C14)&lt;1,'Lender Validation'!B43,"No"))</f>
        <v/>
      </c>
      <c r="C4" s="3" t="str">
        <f>IF('Input-EWEMs'!$D14="", "", 'Input-EWEMs'!C14)</f>
        <v/>
      </c>
      <c r="D4" s="3" t="str">
        <f>IF('Input-EWEMs'!$D14="", "", 'Input-EWEMs'!D14)</f>
        <v/>
      </c>
      <c r="E4" s="3" t="str">
        <f>IF('Input-EWEMs'!$D14="", "", IFERROR(INDEX('Reference-MeasureList'!$O$47:$O$50,MATCH('Input-EWEMs'!E14,'Reference-MeasureList'!$J$47:$J$50,0)),'Input-EWEMs'!E14))</f>
        <v/>
      </c>
      <c r="F4" s="3" t="str">
        <f>IF('Input-EWEMs'!$D14="", "", 'Input-EWEMs'!F14)</f>
        <v/>
      </c>
      <c r="G4" s="3" t="str">
        <f>IF('Input-EWEMs'!$D14="", "", 'Input-EWEMs'!G14)</f>
        <v/>
      </c>
      <c r="H4" s="3" t="str">
        <f>IF('Input-EWEMs'!$H14="", "", 'Input-EWEMs'!H14)</f>
        <v/>
      </c>
      <c r="I4" s="3" t="str">
        <f>IF('Input-EWEMs'!$I14="", "", 'Input-EWEMs'!I14)</f>
        <v/>
      </c>
      <c r="J4" s="3" t="str">
        <f>IF('Input-EWEMs'!$I14="", "", I4/'DB-Properties'!$K$2)</f>
        <v/>
      </c>
      <c r="K4" s="116" t="str">
        <f>IF('Input-EWEMs'!$D14="", "",ROUND('Input-EWEMs'!K14,0))</f>
        <v/>
      </c>
      <c r="L4" s="116" t="str">
        <f>IF('Input-EWEMs'!$D14="", "",SUM(O4,R4))</f>
        <v/>
      </c>
      <c r="M4" s="116" t="str">
        <f>IF('Input-EWEMs'!$D14="", "",ROUND('Input-EWEMs'!L14,0))</f>
        <v/>
      </c>
      <c r="N4" s="116" t="str">
        <f>IF('Input-EWEMs'!$D14="", "",ROUND('Input-EWEMs'!M14,0))</f>
        <v/>
      </c>
      <c r="O4" s="116" t="str">
        <f>IF('Input-EWEMs'!$D14="", "",ROUND('Input-EWEMs'!N14,0))</f>
        <v/>
      </c>
      <c r="P4" s="116" t="str">
        <f>IF('Input-EWEMs'!$D14="", "",ROUND('Input-EWEMs'!O14,0))</f>
        <v/>
      </c>
      <c r="Q4" s="116" t="str">
        <f>IF('Input-EWEMs'!$D14="", "",ROUND('Input-EWEMs'!P14,0))</f>
        <v/>
      </c>
      <c r="R4" s="116" t="str">
        <f>IF('Input-EWEMs'!$D14="", "",ROUND('Input-EWEMs'!Q14,0))</f>
        <v/>
      </c>
      <c r="S4" s="116" t="str">
        <f>IF('Input-EWEMs'!$D14="", "",'Input-EWEMs'!V14)</f>
        <v/>
      </c>
      <c r="T4" s="116" t="str">
        <f>IF('Input-EWEMs'!$D14="", "",IFERROR(INDEX('Input-EWEMs'!$W14:$X14,MATCH("Natural Gas",'Input-EWEMs'!$W$10:$X$10,0)),0))</f>
        <v/>
      </c>
      <c r="U4" s="116" t="str">
        <f>IF('Input-EWEMs'!$D14="", "",IFERROR(INDEX('Input-EWEMs'!$W14:$X14,MATCH("Fuel Oil #2",'Input-EWEMs'!$W$10:$X$10,0)),0))</f>
        <v/>
      </c>
      <c r="V4" s="116" t="str">
        <f>IF('Input-EWEMs'!$D14="", "",IFERROR(INDEX('Input-EWEMs'!$W14:$X14,MATCH("Fuel Oil #4",'Input-EWEMs'!$W$10:$X$10,0)),0))</f>
        <v/>
      </c>
      <c r="W4" s="116" t="str">
        <f>IF('Input-EWEMs'!$D14="", "",IFERROR(INDEX('Input-EWEMs'!$W14:$X14,MATCH("Fuel Oil #6",'Input-EWEMs'!$W$10:$X$10,0)),0))</f>
        <v/>
      </c>
      <c r="X4" s="116" t="str">
        <f>IF('Input-EWEMs'!$D14="", "",IFERROR(INDEX('Input-EWEMs'!$W14:$X14,MATCH("District Steam",'Input-EWEMs'!$W$10:$X$10,0)),0))</f>
        <v/>
      </c>
      <c r="Y4" s="116" t="str">
        <f>IF('Input-EWEMs'!$D14="", "",IFERROR(INDEX('Input-EWEMs'!$W14:$X14,MATCH("Propane",'Input-EWEMs'!$W$10:$X$10,0)),0))</f>
        <v/>
      </c>
      <c r="Z4" s="116" t="str">
        <f>IF('Input-EWEMs'!$D14="", "",'Input-EWEMs'!Y14)</f>
        <v/>
      </c>
      <c r="AA4" s="116" t="str">
        <f>IF('Input-EWEMs'!$D14="", "",IFERROR(INDEX('Input-EWEMs'!$Z14:$AA14,MATCH("Natural Gas",'Input-EWEMs'!$Z$10:$AA$10,0)),0))</f>
        <v/>
      </c>
      <c r="AB4" s="116" t="str">
        <f>IF('Input-EWEMs'!$D14="", "",IFERROR(INDEX('Input-EWEMs'!$Z14:$AA14,MATCH("Fuel Oil #2",'Input-EWEMs'!$Z$10:$AA$10,0)),0))</f>
        <v/>
      </c>
      <c r="AC4" s="116" t="str">
        <f>IF('Input-EWEMs'!$D14="", "",IFERROR(INDEX('Input-EWEMs'!$Z14:$AA14,MATCH("Fuel Oil #4",'Input-EWEMs'!$Z$10:$AA$10,0)),0))</f>
        <v/>
      </c>
      <c r="AD4" s="116" t="str">
        <f>IF('Input-EWEMs'!$D14="", "",IFERROR(INDEX('Input-EWEMs'!$Z14:$AA14,MATCH("Fuel Oil #6",'Input-EWEMs'!$Z$10:$AA$10,0)),0))</f>
        <v/>
      </c>
      <c r="AE4" s="116" t="str">
        <f>IF('Input-EWEMs'!$D14="", "",IFERROR(INDEX('Input-EWEMs'!$Z14:$AA14,MATCH("District Steam",'Input-EWEMs'!$Z$10:$AA$10,0)),0))</f>
        <v/>
      </c>
      <c r="AF4" s="116" t="str">
        <f>IF('Input-EWEMs'!$D14="", "",IFERROR(INDEX('Input-EWEMs'!$Z14:$AA14,MATCH("Propane",'Input-EWEMs'!$Z$10:$AA$10,0)),0))</f>
        <v/>
      </c>
      <c r="AG4" s="116" t="str">
        <f>IF('Input-EWEMs'!$D14="", "",SUM(S4:Y4))</f>
        <v/>
      </c>
      <c r="AH4" s="116" t="str">
        <f>IF('Input-EWEMs'!$D14="", "",SUM(Z4:AF4))</f>
        <v/>
      </c>
      <c r="AI4" s="116" t="str">
        <f>IF('Input-EWEMs'!$D14="", "",'Input-EWEMs'!AD14)</f>
        <v/>
      </c>
      <c r="AJ4" s="3" t="str">
        <f>IF('Input-EWEMs'!$D14="", "",'Input-EWEMs'!AF14)</f>
        <v/>
      </c>
      <c r="AK4" s="3" t="str">
        <f>IF('Input-EWEMs'!$D14="", "",'Input-EWEMs'!AG14)</f>
        <v/>
      </c>
      <c r="AL4" s="116" t="str">
        <f>IF('Input-EWEMs'!$D14="", "",'Input-EWEMs'!AH14)</f>
        <v/>
      </c>
      <c r="AM4" s="116" t="str">
        <f t="shared" si="0"/>
        <v/>
      </c>
      <c r="AN4" s="116" t="str">
        <f>IF('Input-EWEMs'!$D14="", "",IFERROR('Input-EWEMs'!R14*INDEX(Assumptions!$H$6:$H$22,MATCH('Input-EWEMs'!R$11,Assumptions!$C$6:$C$22,0)),0)+IFERROR('Input-EWEMs'!S14*INDEX(Assumptions!$H$6:$H$22,MATCH('Input-EWEMs'!S$11,Assumptions!$C$6:$C$22,0)),0)+IFERROR('Input-EWEMs'!T14*INDEX(Assumptions!$H$6:$H$22,MATCH('Input-EWEMs'!T$11,Assumptions!$C$6:$C$22,0)),0))</f>
        <v/>
      </c>
    </row>
    <row r="5" spans="1:40">
      <c r="A5" s="3"/>
      <c r="B5" s="116" t="str">
        <f>IF('Input-EWEMs'!D15="","",IF(COUNTIF('Input-EWEMs'!C$52:C$61,'Input-EWEMs'!C15)&lt;1,'Lender Validation'!B44,"No"))</f>
        <v/>
      </c>
      <c r="C5" s="3" t="str">
        <f>IF('Input-EWEMs'!$D15="", "", 'Input-EWEMs'!C15)</f>
        <v/>
      </c>
      <c r="D5" s="3" t="str">
        <f>IF('Input-EWEMs'!$D15="", "", 'Input-EWEMs'!D15)</f>
        <v/>
      </c>
      <c r="E5" s="3" t="str">
        <f>IF('Input-EWEMs'!$D15="", "", IFERROR(INDEX('Reference-MeasureList'!$O$47:$O$50,MATCH('Input-EWEMs'!E15,'Reference-MeasureList'!$J$47:$J$50,0)),'Input-EWEMs'!E15))</f>
        <v/>
      </c>
      <c r="F5" s="3" t="str">
        <f>IF('Input-EWEMs'!$D15="", "", 'Input-EWEMs'!F15)</f>
        <v/>
      </c>
      <c r="G5" s="3" t="str">
        <f>IF('Input-EWEMs'!$D15="", "", 'Input-EWEMs'!G15)</f>
        <v/>
      </c>
      <c r="H5" s="3" t="str">
        <f>IF('Input-EWEMs'!$H15="", "", 'Input-EWEMs'!H15)</f>
        <v/>
      </c>
      <c r="I5" s="3" t="str">
        <f>IF('Input-EWEMs'!$I15="", "", 'Input-EWEMs'!I15)</f>
        <v/>
      </c>
      <c r="J5" s="3" t="str">
        <f>IF('Input-EWEMs'!$I15="", "", I5/'DB-Properties'!$K$2)</f>
        <v/>
      </c>
      <c r="K5" s="116" t="str">
        <f>IF('Input-EWEMs'!$D15="", "",ROUND('Input-EWEMs'!K15,0))</f>
        <v/>
      </c>
      <c r="L5" s="116" t="str">
        <f>IF('Input-EWEMs'!$D15="", "",SUM(O5,R5))</f>
        <v/>
      </c>
      <c r="M5" s="116" t="str">
        <f>IF('Input-EWEMs'!$D15="", "",ROUND('Input-EWEMs'!L15,0))</f>
        <v/>
      </c>
      <c r="N5" s="116" t="str">
        <f>IF('Input-EWEMs'!$D15="", "",ROUND('Input-EWEMs'!M15,0))</f>
        <v/>
      </c>
      <c r="O5" s="116" t="str">
        <f>IF('Input-EWEMs'!$D15="", "",ROUND('Input-EWEMs'!N15,0))</f>
        <v/>
      </c>
      <c r="P5" s="116" t="str">
        <f>IF('Input-EWEMs'!$D15="", "",ROUND('Input-EWEMs'!O15,0))</f>
        <v/>
      </c>
      <c r="Q5" s="116" t="str">
        <f>IF('Input-EWEMs'!$D15="", "",ROUND('Input-EWEMs'!P15,0))</f>
        <v/>
      </c>
      <c r="R5" s="116" t="str">
        <f>IF('Input-EWEMs'!$D15="", "",ROUND('Input-EWEMs'!Q15,0))</f>
        <v/>
      </c>
      <c r="S5" s="116" t="str">
        <f>IF('Input-EWEMs'!$D15="", "",'Input-EWEMs'!V15)</f>
        <v/>
      </c>
      <c r="T5" s="116" t="str">
        <f>IF('Input-EWEMs'!$D15="", "",IFERROR(INDEX('Input-EWEMs'!$W15:$X15,MATCH("Natural Gas",'Input-EWEMs'!$W$10:$X$10,0)),0))</f>
        <v/>
      </c>
      <c r="U5" s="116" t="str">
        <f>IF('Input-EWEMs'!$D15="", "",IFERROR(INDEX('Input-EWEMs'!$W15:$X15,MATCH("Fuel Oil #2",'Input-EWEMs'!$W$10:$X$10,0)),0))</f>
        <v/>
      </c>
      <c r="V5" s="116" t="str">
        <f>IF('Input-EWEMs'!$D15="", "",IFERROR(INDEX('Input-EWEMs'!$W15:$X15,MATCH("Fuel Oil #4",'Input-EWEMs'!$W$10:$X$10,0)),0))</f>
        <v/>
      </c>
      <c r="W5" s="116" t="str">
        <f>IF('Input-EWEMs'!$D15="", "",IFERROR(INDEX('Input-EWEMs'!$W15:$X15,MATCH("Fuel Oil #6",'Input-EWEMs'!$W$10:$X$10,0)),0))</f>
        <v/>
      </c>
      <c r="X5" s="116" t="str">
        <f>IF('Input-EWEMs'!$D15="", "",IFERROR(INDEX('Input-EWEMs'!$W15:$X15,MATCH("District Steam",'Input-EWEMs'!$W$10:$X$10,0)),0))</f>
        <v/>
      </c>
      <c r="Y5" s="116" t="str">
        <f>IF('Input-EWEMs'!$D15="", "",IFERROR(INDEX('Input-EWEMs'!$W15:$X15,MATCH("Propane",'Input-EWEMs'!$W$10:$X$10,0)),0))</f>
        <v/>
      </c>
      <c r="Z5" s="116" t="str">
        <f>IF('Input-EWEMs'!$D15="", "",'Input-EWEMs'!Y15)</f>
        <v/>
      </c>
      <c r="AA5" s="116" t="str">
        <f>IF('Input-EWEMs'!$D15="", "",IFERROR(INDEX('Input-EWEMs'!$Z15:$AA15,MATCH("Natural Gas",'Input-EWEMs'!$Z$10:$AA$10,0)),0))</f>
        <v/>
      </c>
      <c r="AB5" s="116" t="str">
        <f>IF('Input-EWEMs'!$D15="", "",IFERROR(INDEX('Input-EWEMs'!$Z15:$AA15,MATCH("Fuel Oil #2",'Input-EWEMs'!$Z$10:$AA$10,0)),0))</f>
        <v/>
      </c>
      <c r="AC5" s="116" t="str">
        <f>IF('Input-EWEMs'!$D15="", "",IFERROR(INDEX('Input-EWEMs'!$Z15:$AA15,MATCH("Fuel Oil #4",'Input-EWEMs'!$Z$10:$AA$10,0)),0))</f>
        <v/>
      </c>
      <c r="AD5" s="116" t="str">
        <f>IF('Input-EWEMs'!$D15="", "",IFERROR(INDEX('Input-EWEMs'!$Z15:$AA15,MATCH("Fuel Oil #6",'Input-EWEMs'!$Z$10:$AA$10,0)),0))</f>
        <v/>
      </c>
      <c r="AE5" s="116" t="str">
        <f>IF('Input-EWEMs'!$D15="", "",IFERROR(INDEX('Input-EWEMs'!$Z15:$AA15,MATCH("District Steam",'Input-EWEMs'!$Z$10:$AA$10,0)),0))</f>
        <v/>
      </c>
      <c r="AF5" s="116" t="str">
        <f>IF('Input-EWEMs'!$D15="", "",IFERROR(INDEX('Input-EWEMs'!$Z15:$AA15,MATCH("Propane",'Input-EWEMs'!$Z$10:$AA$10,0)),0))</f>
        <v/>
      </c>
      <c r="AG5" s="116" t="str">
        <f>IF('Input-EWEMs'!$D15="", "",SUM(S5:Y5))</f>
        <v/>
      </c>
      <c r="AH5" s="116" t="str">
        <f>IF('Input-EWEMs'!$D15="", "",SUM(Z5:AF5))</f>
        <v/>
      </c>
      <c r="AI5" s="116" t="str">
        <f>IF('Input-EWEMs'!$D15="", "",'Input-EWEMs'!AD15)</f>
        <v/>
      </c>
      <c r="AJ5" s="3" t="str">
        <f>IF('Input-EWEMs'!$D15="", "",'Input-EWEMs'!AF15)</f>
        <v/>
      </c>
      <c r="AK5" s="3" t="str">
        <f>IF('Input-EWEMs'!$D15="", "",'Input-EWEMs'!AG15)</f>
        <v/>
      </c>
      <c r="AL5" s="116" t="str">
        <f>IF('Input-EWEMs'!$D15="", "",'Input-EWEMs'!AH15)</f>
        <v/>
      </c>
      <c r="AM5" s="116" t="str">
        <f t="shared" si="0"/>
        <v/>
      </c>
      <c r="AN5" s="116" t="str">
        <f>IF('Input-EWEMs'!$D15="", "",IFERROR('Input-EWEMs'!R15*INDEX(Assumptions!$H$6:$H$22,MATCH('Input-EWEMs'!R$11,Assumptions!$C$6:$C$22,0)),0)+IFERROR('Input-EWEMs'!S15*INDEX(Assumptions!$H$6:$H$22,MATCH('Input-EWEMs'!S$11,Assumptions!$C$6:$C$22,0)),0)+IFERROR('Input-EWEMs'!T15*INDEX(Assumptions!$H$6:$H$22,MATCH('Input-EWEMs'!T$11,Assumptions!$C$6:$C$22,0)),0))</f>
        <v/>
      </c>
    </row>
    <row r="6" spans="1:40">
      <c r="A6" s="3"/>
      <c r="B6" s="116" t="str">
        <f>IF('Input-EWEMs'!D16="","",IF(COUNTIF('Input-EWEMs'!C$52:C$61,'Input-EWEMs'!C16)&lt;1,'Lender Validation'!B45,"No"))</f>
        <v/>
      </c>
      <c r="C6" s="3" t="str">
        <f>IF('Input-EWEMs'!$D16="", "", 'Input-EWEMs'!C16)</f>
        <v/>
      </c>
      <c r="D6" s="3" t="str">
        <f>IF('Input-EWEMs'!$D16="", "", 'Input-EWEMs'!D16)</f>
        <v/>
      </c>
      <c r="E6" s="3" t="str">
        <f>IF('Input-EWEMs'!$D16="", "", IFERROR(INDEX('Reference-MeasureList'!$O$47:$O$50,MATCH('Input-EWEMs'!E16,'Reference-MeasureList'!$J$47:$J$50,0)),'Input-EWEMs'!E16))</f>
        <v/>
      </c>
      <c r="F6" s="3" t="str">
        <f>IF('Input-EWEMs'!$D16="", "", 'Input-EWEMs'!F16)</f>
        <v/>
      </c>
      <c r="G6" s="3" t="str">
        <f>IF('Input-EWEMs'!$D16="", "", 'Input-EWEMs'!G16)</f>
        <v/>
      </c>
      <c r="H6" s="3" t="str">
        <f>IF('Input-EWEMs'!$H16="", "", 'Input-EWEMs'!H16)</f>
        <v/>
      </c>
      <c r="I6" s="3" t="str">
        <f>IF('Input-EWEMs'!$I16="", "", 'Input-EWEMs'!I16)</f>
        <v/>
      </c>
      <c r="J6" s="3" t="str">
        <f>IF('Input-EWEMs'!$I16="", "", I6/'DB-Properties'!$K$2)</f>
        <v/>
      </c>
      <c r="K6" s="116" t="str">
        <f>IF('Input-EWEMs'!$D16="", "",ROUND('Input-EWEMs'!K16,0))</f>
        <v/>
      </c>
      <c r="L6" s="116" t="str">
        <f>IF('Input-EWEMs'!$D16="", "",SUM(O6,R6))</f>
        <v/>
      </c>
      <c r="M6" s="116" t="str">
        <f>IF('Input-EWEMs'!$D16="", "",ROUND('Input-EWEMs'!L16,0))</f>
        <v/>
      </c>
      <c r="N6" s="116" t="str">
        <f>IF('Input-EWEMs'!$D16="", "",ROUND('Input-EWEMs'!M16,0))</f>
        <v/>
      </c>
      <c r="O6" s="116" t="str">
        <f>IF('Input-EWEMs'!$D16="", "",ROUND('Input-EWEMs'!N16,0))</f>
        <v/>
      </c>
      <c r="P6" s="116" t="str">
        <f>IF('Input-EWEMs'!$D16="", "",ROUND('Input-EWEMs'!O16,0))</f>
        <v/>
      </c>
      <c r="Q6" s="116" t="str">
        <f>IF('Input-EWEMs'!$D16="", "",ROUND('Input-EWEMs'!P16,0))</f>
        <v/>
      </c>
      <c r="R6" s="116" t="str">
        <f>IF('Input-EWEMs'!$D16="", "",ROUND('Input-EWEMs'!Q16,0))</f>
        <v/>
      </c>
      <c r="S6" s="116" t="str">
        <f>IF('Input-EWEMs'!$D16="", "",'Input-EWEMs'!V16)</f>
        <v/>
      </c>
      <c r="T6" s="116" t="str">
        <f>IF('Input-EWEMs'!$D16="", "",IFERROR(INDEX('Input-EWEMs'!$W16:$X16,MATCH("Natural Gas",'Input-EWEMs'!$W$10:$X$10,0)),0))</f>
        <v/>
      </c>
      <c r="U6" s="116" t="str">
        <f>IF('Input-EWEMs'!$D16="", "",IFERROR(INDEX('Input-EWEMs'!$W16:$X16,MATCH("Fuel Oil #2",'Input-EWEMs'!$W$10:$X$10,0)),0))</f>
        <v/>
      </c>
      <c r="V6" s="116" t="str">
        <f>IF('Input-EWEMs'!$D16="", "",IFERROR(INDEX('Input-EWEMs'!$W16:$X16,MATCH("Fuel Oil #4",'Input-EWEMs'!$W$10:$X$10,0)),0))</f>
        <v/>
      </c>
      <c r="W6" s="116" t="str">
        <f>IF('Input-EWEMs'!$D16="", "",IFERROR(INDEX('Input-EWEMs'!$W16:$X16,MATCH("Fuel Oil #6",'Input-EWEMs'!$W$10:$X$10,0)),0))</f>
        <v/>
      </c>
      <c r="X6" s="116" t="str">
        <f>IF('Input-EWEMs'!$D16="", "",IFERROR(INDEX('Input-EWEMs'!$W16:$X16,MATCH("District Steam",'Input-EWEMs'!$W$10:$X$10,0)),0))</f>
        <v/>
      </c>
      <c r="Y6" s="116" t="str">
        <f>IF('Input-EWEMs'!$D16="", "",IFERROR(INDEX('Input-EWEMs'!$W16:$X16,MATCH("Propane",'Input-EWEMs'!$W$10:$X$10,0)),0))</f>
        <v/>
      </c>
      <c r="Z6" s="116" t="str">
        <f>IF('Input-EWEMs'!$D16="", "",'Input-EWEMs'!Y16)</f>
        <v/>
      </c>
      <c r="AA6" s="116" t="str">
        <f>IF('Input-EWEMs'!$D16="", "",IFERROR(INDEX('Input-EWEMs'!$Z16:$AA16,MATCH("Natural Gas",'Input-EWEMs'!$Z$10:$AA$10,0)),0))</f>
        <v/>
      </c>
      <c r="AB6" s="116" t="str">
        <f>IF('Input-EWEMs'!$D16="", "",IFERROR(INDEX('Input-EWEMs'!$Z16:$AA16,MATCH("Fuel Oil #2",'Input-EWEMs'!$Z$10:$AA$10,0)),0))</f>
        <v/>
      </c>
      <c r="AC6" s="116" t="str">
        <f>IF('Input-EWEMs'!$D16="", "",IFERROR(INDEX('Input-EWEMs'!$Z16:$AA16,MATCH("Fuel Oil #4",'Input-EWEMs'!$Z$10:$AA$10,0)),0))</f>
        <v/>
      </c>
      <c r="AD6" s="116" t="str">
        <f>IF('Input-EWEMs'!$D16="", "",IFERROR(INDEX('Input-EWEMs'!$Z16:$AA16,MATCH("Fuel Oil #6",'Input-EWEMs'!$Z$10:$AA$10,0)),0))</f>
        <v/>
      </c>
      <c r="AE6" s="116" t="str">
        <f>IF('Input-EWEMs'!$D16="", "",IFERROR(INDEX('Input-EWEMs'!$Z16:$AA16,MATCH("District Steam",'Input-EWEMs'!$Z$10:$AA$10,0)),0))</f>
        <v/>
      </c>
      <c r="AF6" s="116" t="str">
        <f>IF('Input-EWEMs'!$D16="", "",IFERROR(INDEX('Input-EWEMs'!$Z16:$AA16,MATCH("Propane",'Input-EWEMs'!$Z$10:$AA$10,0)),0))</f>
        <v/>
      </c>
      <c r="AG6" s="116" t="str">
        <f>IF('Input-EWEMs'!$D16="", "",SUM(S6:Y6))</f>
        <v/>
      </c>
      <c r="AH6" s="116" t="str">
        <f>IF('Input-EWEMs'!$D16="", "",SUM(Z6:AF6))</f>
        <v/>
      </c>
      <c r="AI6" s="116" t="str">
        <f>IF('Input-EWEMs'!$D16="", "",'Input-EWEMs'!AD16)</f>
        <v/>
      </c>
      <c r="AJ6" s="3" t="str">
        <f>IF('Input-EWEMs'!$D16="", "",'Input-EWEMs'!AF16)</f>
        <v/>
      </c>
      <c r="AK6" s="3" t="str">
        <f>IF('Input-EWEMs'!$D16="", "",'Input-EWEMs'!AG16)</f>
        <v/>
      </c>
      <c r="AL6" s="116" t="str">
        <f>IF('Input-EWEMs'!$D16="", "",'Input-EWEMs'!AH16)</f>
        <v/>
      </c>
      <c r="AM6" s="116" t="str">
        <f t="shared" si="0"/>
        <v/>
      </c>
      <c r="AN6" s="116" t="str">
        <f>IF('Input-EWEMs'!$D16="", "",IFERROR('Input-EWEMs'!R16*INDEX(Assumptions!$H$6:$H$22,MATCH('Input-EWEMs'!R$11,Assumptions!$C$6:$C$22,0)),0)+IFERROR('Input-EWEMs'!S16*INDEX(Assumptions!$H$6:$H$22,MATCH('Input-EWEMs'!S$11,Assumptions!$C$6:$C$22,0)),0)+IFERROR('Input-EWEMs'!T16*INDEX(Assumptions!$H$6:$H$22,MATCH('Input-EWEMs'!T$11,Assumptions!$C$6:$C$22,0)),0))</f>
        <v/>
      </c>
    </row>
    <row r="7" spans="1:40">
      <c r="A7" s="3"/>
      <c r="B7" s="116" t="str">
        <f>IF('Input-EWEMs'!D17="","",IF(COUNTIF('Input-EWEMs'!C$52:C$61,'Input-EWEMs'!C17)&lt;1,'Lender Validation'!B46,"No"))</f>
        <v/>
      </c>
      <c r="C7" s="3" t="str">
        <f>IF('Input-EWEMs'!$D17="", "", 'Input-EWEMs'!C17)</f>
        <v/>
      </c>
      <c r="D7" s="3" t="str">
        <f>IF('Input-EWEMs'!$D17="", "", 'Input-EWEMs'!D17)</f>
        <v/>
      </c>
      <c r="E7" s="3" t="str">
        <f>IF('Input-EWEMs'!$D17="", "", IFERROR(INDEX('Reference-MeasureList'!$O$47:$O$50,MATCH('Input-EWEMs'!E17,'Reference-MeasureList'!$J$47:$J$50,0)),'Input-EWEMs'!E17))</f>
        <v/>
      </c>
      <c r="F7" s="3" t="str">
        <f>IF('Input-EWEMs'!$D17="", "", 'Input-EWEMs'!F17)</f>
        <v/>
      </c>
      <c r="G7" s="3" t="str">
        <f>IF('Input-EWEMs'!$D17="", "", 'Input-EWEMs'!G17)</f>
        <v/>
      </c>
      <c r="H7" s="3" t="str">
        <f>IF('Input-EWEMs'!$H17="", "", 'Input-EWEMs'!H17)</f>
        <v/>
      </c>
      <c r="I7" s="3" t="str">
        <f>IF('Input-EWEMs'!$I17="", "", 'Input-EWEMs'!I17)</f>
        <v/>
      </c>
      <c r="J7" s="3" t="str">
        <f>IF('Input-EWEMs'!$I17="", "", I7/'DB-Properties'!$K$2)</f>
        <v/>
      </c>
      <c r="K7" s="116" t="str">
        <f>IF('Input-EWEMs'!$D17="", "",ROUND('Input-EWEMs'!K17,0))</f>
        <v/>
      </c>
      <c r="L7" s="116" t="str">
        <f>IF('Input-EWEMs'!$D17="", "",SUM(O7,R7))</f>
        <v/>
      </c>
      <c r="M7" s="116" t="str">
        <f>IF('Input-EWEMs'!$D17="", "",ROUND('Input-EWEMs'!L17,0))</f>
        <v/>
      </c>
      <c r="N7" s="116" t="str">
        <f>IF('Input-EWEMs'!$D17="", "",ROUND('Input-EWEMs'!M17,0))</f>
        <v/>
      </c>
      <c r="O7" s="116" t="str">
        <f>IF('Input-EWEMs'!$D17="", "",ROUND('Input-EWEMs'!N17,0))</f>
        <v/>
      </c>
      <c r="P7" s="116" t="str">
        <f>IF('Input-EWEMs'!$D17="", "",ROUND('Input-EWEMs'!O17,0))</f>
        <v/>
      </c>
      <c r="Q7" s="116" t="str">
        <f>IF('Input-EWEMs'!$D17="", "",ROUND('Input-EWEMs'!P17,0))</f>
        <v/>
      </c>
      <c r="R7" s="116" t="str">
        <f>IF('Input-EWEMs'!$D17="", "",ROUND('Input-EWEMs'!Q17,0))</f>
        <v/>
      </c>
      <c r="S7" s="116" t="str">
        <f>IF('Input-EWEMs'!$D17="", "",'Input-EWEMs'!V17)</f>
        <v/>
      </c>
      <c r="T7" s="116" t="str">
        <f>IF('Input-EWEMs'!$D17="", "",IFERROR(INDEX('Input-EWEMs'!$W17:$X17,MATCH("Natural Gas",'Input-EWEMs'!$W$10:$X$10,0)),0))</f>
        <v/>
      </c>
      <c r="U7" s="116" t="str">
        <f>IF('Input-EWEMs'!$D17="", "",IFERROR(INDEX('Input-EWEMs'!$W17:$X17,MATCH("Fuel Oil #2",'Input-EWEMs'!$W$10:$X$10,0)),0))</f>
        <v/>
      </c>
      <c r="V7" s="116" t="str">
        <f>IF('Input-EWEMs'!$D17="", "",IFERROR(INDEX('Input-EWEMs'!$W17:$X17,MATCH("Fuel Oil #4",'Input-EWEMs'!$W$10:$X$10,0)),0))</f>
        <v/>
      </c>
      <c r="W7" s="116" t="str">
        <f>IF('Input-EWEMs'!$D17="", "",IFERROR(INDEX('Input-EWEMs'!$W17:$X17,MATCH("Fuel Oil #6",'Input-EWEMs'!$W$10:$X$10,0)),0))</f>
        <v/>
      </c>
      <c r="X7" s="116" t="str">
        <f>IF('Input-EWEMs'!$D17="", "",IFERROR(INDEX('Input-EWEMs'!$W17:$X17,MATCH("District Steam",'Input-EWEMs'!$W$10:$X$10,0)),0))</f>
        <v/>
      </c>
      <c r="Y7" s="116" t="str">
        <f>IF('Input-EWEMs'!$D17="", "",IFERROR(INDEX('Input-EWEMs'!$W17:$X17,MATCH("Propane",'Input-EWEMs'!$W$10:$X$10,0)),0))</f>
        <v/>
      </c>
      <c r="Z7" s="116" t="str">
        <f>IF('Input-EWEMs'!$D17="", "",'Input-EWEMs'!Y17)</f>
        <v/>
      </c>
      <c r="AA7" s="116" t="str">
        <f>IF('Input-EWEMs'!$D17="", "",IFERROR(INDEX('Input-EWEMs'!$Z17:$AA17,MATCH("Natural Gas",'Input-EWEMs'!$Z$10:$AA$10,0)),0))</f>
        <v/>
      </c>
      <c r="AB7" s="116" t="str">
        <f>IF('Input-EWEMs'!$D17="", "",IFERROR(INDEX('Input-EWEMs'!$Z17:$AA17,MATCH("Fuel Oil #2",'Input-EWEMs'!$Z$10:$AA$10,0)),0))</f>
        <v/>
      </c>
      <c r="AC7" s="116" t="str">
        <f>IF('Input-EWEMs'!$D17="", "",IFERROR(INDEX('Input-EWEMs'!$Z17:$AA17,MATCH("Fuel Oil #4",'Input-EWEMs'!$Z$10:$AA$10,0)),0))</f>
        <v/>
      </c>
      <c r="AD7" s="116" t="str">
        <f>IF('Input-EWEMs'!$D17="", "",IFERROR(INDEX('Input-EWEMs'!$Z17:$AA17,MATCH("Fuel Oil #6",'Input-EWEMs'!$Z$10:$AA$10,0)),0))</f>
        <v/>
      </c>
      <c r="AE7" s="116" t="str">
        <f>IF('Input-EWEMs'!$D17="", "",IFERROR(INDEX('Input-EWEMs'!$Z17:$AA17,MATCH("District Steam",'Input-EWEMs'!$Z$10:$AA$10,0)),0))</f>
        <v/>
      </c>
      <c r="AF7" s="116" t="str">
        <f>IF('Input-EWEMs'!$D17="", "",IFERROR(INDEX('Input-EWEMs'!$Z17:$AA17,MATCH("Propane",'Input-EWEMs'!$Z$10:$AA$10,0)),0))</f>
        <v/>
      </c>
      <c r="AG7" s="116" t="str">
        <f>IF('Input-EWEMs'!$D17="", "",SUM(S7:Y7))</f>
        <v/>
      </c>
      <c r="AH7" s="116" t="str">
        <f>IF('Input-EWEMs'!$D17="", "",SUM(Z7:AF7))</f>
        <v/>
      </c>
      <c r="AI7" s="116" t="str">
        <f>IF('Input-EWEMs'!$D17="", "",'Input-EWEMs'!AD17)</f>
        <v/>
      </c>
      <c r="AJ7" s="3" t="str">
        <f>IF('Input-EWEMs'!$D17="", "",'Input-EWEMs'!AF17)</f>
        <v/>
      </c>
      <c r="AK7" s="3" t="str">
        <f>IF('Input-EWEMs'!$D17="", "",'Input-EWEMs'!AG17)</f>
        <v/>
      </c>
      <c r="AL7" s="116" t="str">
        <f>IF('Input-EWEMs'!$D17="", "",'Input-EWEMs'!AH17)</f>
        <v/>
      </c>
      <c r="AM7" s="116" t="str">
        <f t="shared" si="0"/>
        <v/>
      </c>
      <c r="AN7" s="116" t="str">
        <f>IF('Input-EWEMs'!$D17="", "",IFERROR('Input-EWEMs'!R17*INDEX(Assumptions!$H$6:$H$22,MATCH('Input-EWEMs'!R$11,Assumptions!$C$6:$C$22,0)),0)+IFERROR('Input-EWEMs'!S17*INDEX(Assumptions!$H$6:$H$22,MATCH('Input-EWEMs'!S$11,Assumptions!$C$6:$C$22,0)),0)+IFERROR('Input-EWEMs'!T17*INDEX(Assumptions!$H$6:$H$22,MATCH('Input-EWEMs'!T$11,Assumptions!$C$6:$C$22,0)),0))</f>
        <v/>
      </c>
    </row>
    <row r="8" spans="1:40">
      <c r="A8" s="3"/>
      <c r="B8" s="116" t="str">
        <f>IF('Input-EWEMs'!D18="","",IF(COUNTIF('Input-EWEMs'!C$52:C$61,'Input-EWEMs'!C18)&lt;1,'Lender Validation'!B47,"No"))</f>
        <v/>
      </c>
      <c r="C8" s="3" t="str">
        <f>IF('Input-EWEMs'!$D18="", "", 'Input-EWEMs'!C18)</f>
        <v/>
      </c>
      <c r="D8" s="3" t="str">
        <f>IF('Input-EWEMs'!$D18="", "", 'Input-EWEMs'!D18)</f>
        <v/>
      </c>
      <c r="E8" s="3" t="str">
        <f>IF('Input-EWEMs'!$D18="", "", IFERROR(INDEX('Reference-MeasureList'!$O$47:$O$50,MATCH('Input-EWEMs'!E18,'Reference-MeasureList'!$J$47:$J$50,0)),'Input-EWEMs'!E18))</f>
        <v/>
      </c>
      <c r="F8" s="3" t="str">
        <f>IF('Input-EWEMs'!$D18="", "", 'Input-EWEMs'!F18)</f>
        <v/>
      </c>
      <c r="G8" s="3" t="str">
        <f>IF('Input-EWEMs'!$D18="", "", 'Input-EWEMs'!G18)</f>
        <v/>
      </c>
      <c r="H8" s="3" t="str">
        <f>IF('Input-EWEMs'!$H18="", "", 'Input-EWEMs'!H18)</f>
        <v/>
      </c>
      <c r="I8" s="3" t="str">
        <f>IF('Input-EWEMs'!$I18="", "", 'Input-EWEMs'!I18)</f>
        <v/>
      </c>
      <c r="J8" s="3" t="str">
        <f>IF('Input-EWEMs'!$I18="", "", I8/'DB-Properties'!$K$2)</f>
        <v/>
      </c>
      <c r="K8" s="116" t="str">
        <f>IF('Input-EWEMs'!$D18="", "",ROUND('Input-EWEMs'!K18,0))</f>
        <v/>
      </c>
      <c r="L8" s="116" t="str">
        <f>IF('Input-EWEMs'!$D18="", "",SUM(O8,R8))</f>
        <v/>
      </c>
      <c r="M8" s="116" t="str">
        <f>IF('Input-EWEMs'!$D18="", "",ROUND('Input-EWEMs'!L18,0))</f>
        <v/>
      </c>
      <c r="N8" s="116" t="str">
        <f>IF('Input-EWEMs'!$D18="", "",ROUND('Input-EWEMs'!M18,0))</f>
        <v/>
      </c>
      <c r="O8" s="116" t="str">
        <f>IF('Input-EWEMs'!$D18="", "",ROUND('Input-EWEMs'!N18,0))</f>
        <v/>
      </c>
      <c r="P8" s="116" t="str">
        <f>IF('Input-EWEMs'!$D18="", "",ROUND('Input-EWEMs'!O18,0))</f>
        <v/>
      </c>
      <c r="Q8" s="116" t="str">
        <f>IF('Input-EWEMs'!$D18="", "",ROUND('Input-EWEMs'!P18,0))</f>
        <v/>
      </c>
      <c r="R8" s="116" t="str">
        <f>IF('Input-EWEMs'!$D18="", "",ROUND('Input-EWEMs'!Q18,0))</f>
        <v/>
      </c>
      <c r="S8" s="116" t="str">
        <f>IF('Input-EWEMs'!$D18="", "",'Input-EWEMs'!V18)</f>
        <v/>
      </c>
      <c r="T8" s="116" t="str">
        <f>IF('Input-EWEMs'!$D18="", "",IFERROR(INDEX('Input-EWEMs'!$W18:$X18,MATCH("Natural Gas",'Input-EWEMs'!$W$10:$X$10,0)),0))</f>
        <v/>
      </c>
      <c r="U8" s="116" t="str">
        <f>IF('Input-EWEMs'!$D18="", "",IFERROR(INDEX('Input-EWEMs'!$W18:$X18,MATCH("Fuel Oil #2",'Input-EWEMs'!$W$10:$X$10,0)),0))</f>
        <v/>
      </c>
      <c r="V8" s="116" t="str">
        <f>IF('Input-EWEMs'!$D18="", "",IFERROR(INDEX('Input-EWEMs'!$W18:$X18,MATCH("Fuel Oil #4",'Input-EWEMs'!$W$10:$X$10,0)),0))</f>
        <v/>
      </c>
      <c r="W8" s="116" t="str">
        <f>IF('Input-EWEMs'!$D18="", "",IFERROR(INDEX('Input-EWEMs'!$W18:$X18,MATCH("Fuel Oil #6",'Input-EWEMs'!$W$10:$X$10,0)),0))</f>
        <v/>
      </c>
      <c r="X8" s="116" t="str">
        <f>IF('Input-EWEMs'!$D18="", "",IFERROR(INDEX('Input-EWEMs'!$W18:$X18,MATCH("District Steam",'Input-EWEMs'!$W$10:$X$10,0)),0))</f>
        <v/>
      </c>
      <c r="Y8" s="116" t="str">
        <f>IF('Input-EWEMs'!$D18="", "",IFERROR(INDEX('Input-EWEMs'!$W18:$X18,MATCH("Propane",'Input-EWEMs'!$W$10:$X$10,0)),0))</f>
        <v/>
      </c>
      <c r="Z8" s="116" t="str">
        <f>IF('Input-EWEMs'!$D18="", "",'Input-EWEMs'!Y18)</f>
        <v/>
      </c>
      <c r="AA8" s="116" t="str">
        <f>IF('Input-EWEMs'!$D18="", "",IFERROR(INDEX('Input-EWEMs'!$Z18:$AA18,MATCH("Natural Gas",'Input-EWEMs'!$Z$10:$AA$10,0)),0))</f>
        <v/>
      </c>
      <c r="AB8" s="116" t="str">
        <f>IF('Input-EWEMs'!$D18="", "",IFERROR(INDEX('Input-EWEMs'!$Z18:$AA18,MATCH("Fuel Oil #2",'Input-EWEMs'!$Z$10:$AA$10,0)),0))</f>
        <v/>
      </c>
      <c r="AC8" s="116" t="str">
        <f>IF('Input-EWEMs'!$D18="", "",IFERROR(INDEX('Input-EWEMs'!$Z18:$AA18,MATCH("Fuel Oil #4",'Input-EWEMs'!$Z$10:$AA$10,0)),0))</f>
        <v/>
      </c>
      <c r="AD8" s="116" t="str">
        <f>IF('Input-EWEMs'!$D18="", "",IFERROR(INDEX('Input-EWEMs'!$Z18:$AA18,MATCH("Fuel Oil #6",'Input-EWEMs'!$Z$10:$AA$10,0)),0))</f>
        <v/>
      </c>
      <c r="AE8" s="116" t="str">
        <f>IF('Input-EWEMs'!$D18="", "",IFERROR(INDEX('Input-EWEMs'!$Z18:$AA18,MATCH("District Steam",'Input-EWEMs'!$Z$10:$AA$10,0)),0))</f>
        <v/>
      </c>
      <c r="AF8" s="116" t="str">
        <f>IF('Input-EWEMs'!$D18="", "",IFERROR(INDEX('Input-EWEMs'!$Z18:$AA18,MATCH("Propane",'Input-EWEMs'!$Z$10:$AA$10,0)),0))</f>
        <v/>
      </c>
      <c r="AG8" s="116" t="str">
        <f>IF('Input-EWEMs'!$D18="", "",SUM(S8:Y8))</f>
        <v/>
      </c>
      <c r="AH8" s="116" t="str">
        <f>IF('Input-EWEMs'!$D18="", "",SUM(Z8:AF8))</f>
        <v/>
      </c>
      <c r="AI8" s="116" t="str">
        <f>IF('Input-EWEMs'!$D18="", "",'Input-EWEMs'!AD18)</f>
        <v/>
      </c>
      <c r="AJ8" s="3" t="str">
        <f>IF('Input-EWEMs'!$D18="", "",'Input-EWEMs'!AF18)</f>
        <v/>
      </c>
      <c r="AK8" s="3" t="str">
        <f>IF('Input-EWEMs'!$D18="", "",'Input-EWEMs'!AG18)</f>
        <v/>
      </c>
      <c r="AL8" s="116" t="str">
        <f>IF('Input-EWEMs'!$D18="", "",'Input-EWEMs'!AH18)</f>
        <v/>
      </c>
      <c r="AM8" s="116" t="str">
        <f t="shared" si="0"/>
        <v/>
      </c>
      <c r="AN8" s="116" t="str">
        <f>IF('Input-EWEMs'!$D18="", "",IFERROR('Input-EWEMs'!R18*INDEX(Assumptions!$H$6:$H$22,MATCH('Input-EWEMs'!R$11,Assumptions!$C$6:$C$22,0)),0)+IFERROR('Input-EWEMs'!S18*INDEX(Assumptions!$H$6:$H$22,MATCH('Input-EWEMs'!S$11,Assumptions!$C$6:$C$22,0)),0)+IFERROR('Input-EWEMs'!T18*INDEX(Assumptions!$H$6:$H$22,MATCH('Input-EWEMs'!T$11,Assumptions!$C$6:$C$22,0)),0))</f>
        <v/>
      </c>
    </row>
    <row r="9" spans="1:40">
      <c r="A9" s="3"/>
      <c r="B9" s="116" t="str">
        <f>IF('Input-EWEMs'!D19="","",IF(COUNTIF('Input-EWEMs'!C$52:C$61,'Input-EWEMs'!C19)&lt;1,'Lender Validation'!B48,"No"))</f>
        <v/>
      </c>
      <c r="C9" s="3" t="str">
        <f>IF('Input-EWEMs'!$D19="", "", 'Input-EWEMs'!C19)</f>
        <v/>
      </c>
      <c r="D9" s="3" t="str">
        <f>IF('Input-EWEMs'!$D19="", "", 'Input-EWEMs'!D19)</f>
        <v/>
      </c>
      <c r="E9" s="3" t="str">
        <f>IF('Input-EWEMs'!$D19="", "", IFERROR(INDEX('Reference-MeasureList'!$O$47:$O$50,MATCH('Input-EWEMs'!E19,'Reference-MeasureList'!$J$47:$J$50,0)),'Input-EWEMs'!E19))</f>
        <v/>
      </c>
      <c r="F9" s="3" t="str">
        <f>IF('Input-EWEMs'!$D19="", "", 'Input-EWEMs'!F19)</f>
        <v/>
      </c>
      <c r="G9" s="3" t="str">
        <f>IF('Input-EWEMs'!$D19="", "", 'Input-EWEMs'!G19)</f>
        <v/>
      </c>
      <c r="H9" s="3" t="str">
        <f>IF('Input-EWEMs'!$H19="", "", 'Input-EWEMs'!H19)</f>
        <v/>
      </c>
      <c r="I9" s="3" t="str">
        <f>IF('Input-EWEMs'!$I19="", "", 'Input-EWEMs'!I19)</f>
        <v/>
      </c>
      <c r="J9" s="3" t="str">
        <f>IF('Input-EWEMs'!$I19="", "", I9/'DB-Properties'!$K$2)</f>
        <v/>
      </c>
      <c r="K9" s="116" t="str">
        <f>IF('Input-EWEMs'!$D19="", "",ROUND('Input-EWEMs'!K19,0))</f>
        <v/>
      </c>
      <c r="L9" s="116" t="str">
        <f>IF('Input-EWEMs'!$D19="", "",SUM(O9,R9))</f>
        <v/>
      </c>
      <c r="M9" s="116" t="str">
        <f>IF('Input-EWEMs'!$D19="", "",ROUND('Input-EWEMs'!L19,0))</f>
        <v/>
      </c>
      <c r="N9" s="116" t="str">
        <f>IF('Input-EWEMs'!$D19="", "",ROUND('Input-EWEMs'!M19,0))</f>
        <v/>
      </c>
      <c r="O9" s="116" t="str">
        <f>IF('Input-EWEMs'!$D19="", "",ROUND('Input-EWEMs'!N19,0))</f>
        <v/>
      </c>
      <c r="P9" s="116" t="str">
        <f>IF('Input-EWEMs'!$D19="", "",ROUND('Input-EWEMs'!O19,0))</f>
        <v/>
      </c>
      <c r="Q9" s="116" t="str">
        <f>IF('Input-EWEMs'!$D19="", "",ROUND('Input-EWEMs'!P19,0))</f>
        <v/>
      </c>
      <c r="R9" s="116" t="str">
        <f>IF('Input-EWEMs'!$D19="", "",ROUND('Input-EWEMs'!Q19,0))</f>
        <v/>
      </c>
      <c r="S9" s="116" t="str">
        <f>IF('Input-EWEMs'!$D19="", "",'Input-EWEMs'!V19)</f>
        <v/>
      </c>
      <c r="T9" s="116" t="str">
        <f>IF('Input-EWEMs'!$D19="", "",IFERROR(INDEX('Input-EWEMs'!$W19:$X19,MATCH("Natural Gas",'Input-EWEMs'!$W$10:$X$10,0)),0))</f>
        <v/>
      </c>
      <c r="U9" s="116" t="str">
        <f>IF('Input-EWEMs'!$D19="", "",IFERROR(INDEX('Input-EWEMs'!$W19:$X19,MATCH("Fuel Oil #2",'Input-EWEMs'!$W$10:$X$10,0)),0))</f>
        <v/>
      </c>
      <c r="V9" s="116" t="str">
        <f>IF('Input-EWEMs'!$D19="", "",IFERROR(INDEX('Input-EWEMs'!$W19:$X19,MATCH("Fuel Oil #4",'Input-EWEMs'!$W$10:$X$10,0)),0))</f>
        <v/>
      </c>
      <c r="W9" s="116" t="str">
        <f>IF('Input-EWEMs'!$D19="", "",IFERROR(INDEX('Input-EWEMs'!$W19:$X19,MATCH("Fuel Oil #6",'Input-EWEMs'!$W$10:$X$10,0)),0))</f>
        <v/>
      </c>
      <c r="X9" s="116" t="str">
        <f>IF('Input-EWEMs'!$D19="", "",IFERROR(INDEX('Input-EWEMs'!$W19:$X19,MATCH("District Steam",'Input-EWEMs'!$W$10:$X$10,0)),0))</f>
        <v/>
      </c>
      <c r="Y9" s="116" t="str">
        <f>IF('Input-EWEMs'!$D19="", "",IFERROR(INDEX('Input-EWEMs'!$W19:$X19,MATCH("Propane",'Input-EWEMs'!$W$10:$X$10,0)),0))</f>
        <v/>
      </c>
      <c r="Z9" s="116" t="str">
        <f>IF('Input-EWEMs'!$D19="", "",'Input-EWEMs'!Y19)</f>
        <v/>
      </c>
      <c r="AA9" s="116" t="str">
        <f>IF('Input-EWEMs'!$D19="", "",IFERROR(INDEX('Input-EWEMs'!$Z19:$AA19,MATCH("Natural Gas",'Input-EWEMs'!$Z$10:$AA$10,0)),0))</f>
        <v/>
      </c>
      <c r="AB9" s="116" t="str">
        <f>IF('Input-EWEMs'!$D19="", "",IFERROR(INDEX('Input-EWEMs'!$Z19:$AA19,MATCH("Fuel Oil #2",'Input-EWEMs'!$Z$10:$AA$10,0)),0))</f>
        <v/>
      </c>
      <c r="AC9" s="116" t="str">
        <f>IF('Input-EWEMs'!$D19="", "",IFERROR(INDEX('Input-EWEMs'!$Z19:$AA19,MATCH("Fuel Oil #4",'Input-EWEMs'!$Z$10:$AA$10,0)),0))</f>
        <v/>
      </c>
      <c r="AD9" s="116" t="str">
        <f>IF('Input-EWEMs'!$D19="", "",IFERROR(INDEX('Input-EWEMs'!$Z19:$AA19,MATCH("Fuel Oil #6",'Input-EWEMs'!$Z$10:$AA$10,0)),0))</f>
        <v/>
      </c>
      <c r="AE9" s="116" t="str">
        <f>IF('Input-EWEMs'!$D19="", "",IFERROR(INDEX('Input-EWEMs'!$Z19:$AA19,MATCH("District Steam",'Input-EWEMs'!$Z$10:$AA$10,0)),0))</f>
        <v/>
      </c>
      <c r="AF9" s="116" t="str">
        <f>IF('Input-EWEMs'!$D19="", "",IFERROR(INDEX('Input-EWEMs'!$Z19:$AA19,MATCH("Propane",'Input-EWEMs'!$Z$10:$AA$10,0)),0))</f>
        <v/>
      </c>
      <c r="AG9" s="116" t="str">
        <f>IF('Input-EWEMs'!$D19="", "",SUM(S9:Y9))</f>
        <v/>
      </c>
      <c r="AH9" s="116" t="str">
        <f>IF('Input-EWEMs'!$D19="", "",SUM(Z9:AF9))</f>
        <v/>
      </c>
      <c r="AI9" s="116" t="str">
        <f>IF('Input-EWEMs'!$D19="", "",'Input-EWEMs'!AD19)</f>
        <v/>
      </c>
      <c r="AJ9" s="3" t="str">
        <f>IF('Input-EWEMs'!$D19="", "",'Input-EWEMs'!AF19)</f>
        <v/>
      </c>
      <c r="AK9" s="3" t="str">
        <f>IF('Input-EWEMs'!$D19="", "",'Input-EWEMs'!AG19)</f>
        <v/>
      </c>
      <c r="AL9" s="116" t="str">
        <f>IF('Input-EWEMs'!$D19="", "",'Input-EWEMs'!AH19)</f>
        <v/>
      </c>
      <c r="AM9" s="116" t="str">
        <f t="shared" si="0"/>
        <v/>
      </c>
      <c r="AN9" s="116" t="str">
        <f>IF('Input-EWEMs'!$D19="", "",IFERROR('Input-EWEMs'!R19*INDEX(Assumptions!$H$6:$H$22,MATCH('Input-EWEMs'!R$11,Assumptions!$C$6:$C$22,0)),0)+IFERROR('Input-EWEMs'!S19*INDEX(Assumptions!$H$6:$H$22,MATCH('Input-EWEMs'!S$11,Assumptions!$C$6:$C$22,0)),0)+IFERROR('Input-EWEMs'!T19*INDEX(Assumptions!$H$6:$H$22,MATCH('Input-EWEMs'!T$11,Assumptions!$C$6:$C$22,0)),0))</f>
        <v/>
      </c>
    </row>
    <row r="10" spans="1:40">
      <c r="A10" s="3"/>
      <c r="B10" s="116" t="str">
        <f>IF('Input-EWEMs'!D20="","",IF(COUNTIF('Input-EWEMs'!C$52:C$61,'Input-EWEMs'!C20)&lt;1,'Lender Validation'!B49,"No"))</f>
        <v/>
      </c>
      <c r="C10" s="3" t="str">
        <f>IF('Input-EWEMs'!$D20="", "", 'Input-EWEMs'!C20)</f>
        <v/>
      </c>
      <c r="D10" s="3" t="str">
        <f>IF('Input-EWEMs'!$D20="", "", 'Input-EWEMs'!D20)</f>
        <v/>
      </c>
      <c r="E10" s="3" t="str">
        <f>IF('Input-EWEMs'!$D20="", "", IFERROR(INDEX('Reference-MeasureList'!$O$47:$O$50,MATCH('Input-EWEMs'!E20,'Reference-MeasureList'!$J$47:$J$50,0)),'Input-EWEMs'!E20))</f>
        <v/>
      </c>
      <c r="F10" s="3" t="str">
        <f>IF('Input-EWEMs'!$D20="", "", 'Input-EWEMs'!F20)</f>
        <v/>
      </c>
      <c r="G10" s="3" t="str">
        <f>IF('Input-EWEMs'!$D20="", "", 'Input-EWEMs'!G20)</f>
        <v/>
      </c>
      <c r="H10" s="3" t="str">
        <f>IF('Input-EWEMs'!$H20="", "", 'Input-EWEMs'!H20)</f>
        <v/>
      </c>
      <c r="I10" s="3" t="str">
        <f>IF('Input-EWEMs'!$I20="", "", 'Input-EWEMs'!I20)</f>
        <v/>
      </c>
      <c r="J10" s="3" t="str">
        <f>IF('Input-EWEMs'!$I20="", "", I10/'DB-Properties'!$K$2)</f>
        <v/>
      </c>
      <c r="K10" s="116" t="str">
        <f>IF('Input-EWEMs'!$D20="", "",ROUND('Input-EWEMs'!K20,0))</f>
        <v/>
      </c>
      <c r="L10" s="116" t="str">
        <f>IF('Input-EWEMs'!$D20="", "",SUM(O10,R10))</f>
        <v/>
      </c>
      <c r="M10" s="116" t="str">
        <f>IF('Input-EWEMs'!$D20="", "",ROUND('Input-EWEMs'!L20,0))</f>
        <v/>
      </c>
      <c r="N10" s="116" t="str">
        <f>IF('Input-EWEMs'!$D20="", "",ROUND('Input-EWEMs'!M20,0))</f>
        <v/>
      </c>
      <c r="O10" s="116" t="str">
        <f>IF('Input-EWEMs'!$D20="", "",ROUND('Input-EWEMs'!N20,0))</f>
        <v/>
      </c>
      <c r="P10" s="116" t="str">
        <f>IF('Input-EWEMs'!$D20="", "",ROUND('Input-EWEMs'!O20,0))</f>
        <v/>
      </c>
      <c r="Q10" s="116" t="str">
        <f>IF('Input-EWEMs'!$D20="", "",ROUND('Input-EWEMs'!P20,0))</f>
        <v/>
      </c>
      <c r="R10" s="116" t="str">
        <f>IF('Input-EWEMs'!$D20="", "",ROUND('Input-EWEMs'!Q20,0))</f>
        <v/>
      </c>
      <c r="S10" s="116" t="str">
        <f>IF('Input-EWEMs'!$D20="", "",'Input-EWEMs'!V20)</f>
        <v/>
      </c>
      <c r="T10" s="116" t="str">
        <f>IF('Input-EWEMs'!$D20="", "",IFERROR(INDEX('Input-EWEMs'!$W20:$X20,MATCH("Natural Gas",'Input-EWEMs'!$W$10:$X$10,0)),0))</f>
        <v/>
      </c>
      <c r="U10" s="116" t="str">
        <f>IF('Input-EWEMs'!$D20="", "",IFERROR(INDEX('Input-EWEMs'!$W20:$X20,MATCH("Fuel Oil #2",'Input-EWEMs'!$W$10:$X$10,0)),0))</f>
        <v/>
      </c>
      <c r="V10" s="116" t="str">
        <f>IF('Input-EWEMs'!$D20="", "",IFERROR(INDEX('Input-EWEMs'!$W20:$X20,MATCH("Fuel Oil #4",'Input-EWEMs'!$W$10:$X$10,0)),0))</f>
        <v/>
      </c>
      <c r="W10" s="116" t="str">
        <f>IF('Input-EWEMs'!$D20="", "",IFERROR(INDEX('Input-EWEMs'!$W20:$X20,MATCH("Fuel Oil #6",'Input-EWEMs'!$W$10:$X$10,0)),0))</f>
        <v/>
      </c>
      <c r="X10" s="116" t="str">
        <f>IF('Input-EWEMs'!$D20="", "",IFERROR(INDEX('Input-EWEMs'!$W20:$X20,MATCH("District Steam",'Input-EWEMs'!$W$10:$X$10,0)),0))</f>
        <v/>
      </c>
      <c r="Y10" s="116" t="str">
        <f>IF('Input-EWEMs'!$D20="", "",IFERROR(INDEX('Input-EWEMs'!$W20:$X20,MATCH("Propane",'Input-EWEMs'!$W$10:$X$10,0)),0))</f>
        <v/>
      </c>
      <c r="Z10" s="116" t="str">
        <f>IF('Input-EWEMs'!$D20="", "",'Input-EWEMs'!Y20)</f>
        <v/>
      </c>
      <c r="AA10" s="116" t="str">
        <f>IF('Input-EWEMs'!$D20="", "",IFERROR(INDEX('Input-EWEMs'!$Z20:$AA20,MATCH("Natural Gas",'Input-EWEMs'!$Z$10:$AA$10,0)),0))</f>
        <v/>
      </c>
      <c r="AB10" s="116" t="str">
        <f>IF('Input-EWEMs'!$D20="", "",IFERROR(INDEX('Input-EWEMs'!$Z20:$AA20,MATCH("Fuel Oil #2",'Input-EWEMs'!$Z$10:$AA$10,0)),0))</f>
        <v/>
      </c>
      <c r="AC10" s="116" t="str">
        <f>IF('Input-EWEMs'!$D20="", "",IFERROR(INDEX('Input-EWEMs'!$Z20:$AA20,MATCH("Fuel Oil #4",'Input-EWEMs'!$Z$10:$AA$10,0)),0))</f>
        <v/>
      </c>
      <c r="AD10" s="116" t="str">
        <f>IF('Input-EWEMs'!$D20="", "",IFERROR(INDEX('Input-EWEMs'!$Z20:$AA20,MATCH("Fuel Oil #6",'Input-EWEMs'!$Z$10:$AA$10,0)),0))</f>
        <v/>
      </c>
      <c r="AE10" s="116" t="str">
        <f>IF('Input-EWEMs'!$D20="", "",IFERROR(INDEX('Input-EWEMs'!$Z20:$AA20,MATCH("District Steam",'Input-EWEMs'!$Z$10:$AA$10,0)),0))</f>
        <v/>
      </c>
      <c r="AF10" s="116" t="str">
        <f>IF('Input-EWEMs'!$D20="", "",IFERROR(INDEX('Input-EWEMs'!$Z20:$AA20,MATCH("Propane",'Input-EWEMs'!$Z$10:$AA$10,0)),0))</f>
        <v/>
      </c>
      <c r="AG10" s="116" t="str">
        <f>IF('Input-EWEMs'!$D20="", "",SUM(S10:Y10))</f>
        <v/>
      </c>
      <c r="AH10" s="116" t="str">
        <f>IF('Input-EWEMs'!$D20="", "",SUM(Z10:AF10))</f>
        <v/>
      </c>
      <c r="AI10" s="116" t="str">
        <f>IF('Input-EWEMs'!$D20="", "",'Input-EWEMs'!AD20)</f>
        <v/>
      </c>
      <c r="AJ10" s="3" t="str">
        <f>IF('Input-EWEMs'!$D20="", "",'Input-EWEMs'!AF20)</f>
        <v/>
      </c>
      <c r="AK10" s="3" t="str">
        <f>IF('Input-EWEMs'!$D20="", "",'Input-EWEMs'!AG20)</f>
        <v/>
      </c>
      <c r="AL10" s="116" t="str">
        <f>IF('Input-EWEMs'!$D20="", "",'Input-EWEMs'!AH20)</f>
        <v/>
      </c>
      <c r="AM10" s="116" t="str">
        <f t="shared" si="0"/>
        <v/>
      </c>
      <c r="AN10" s="116" t="str">
        <f>IF('Input-EWEMs'!$D20="", "",IFERROR('Input-EWEMs'!R20*INDEX(Assumptions!$H$6:$H$22,MATCH('Input-EWEMs'!R$11,Assumptions!$C$6:$C$22,0)),0)+IFERROR('Input-EWEMs'!S20*INDEX(Assumptions!$H$6:$H$22,MATCH('Input-EWEMs'!S$11,Assumptions!$C$6:$C$22,0)),0)+IFERROR('Input-EWEMs'!T20*INDEX(Assumptions!$H$6:$H$22,MATCH('Input-EWEMs'!T$11,Assumptions!$C$6:$C$22,0)),0))</f>
        <v/>
      </c>
    </row>
    <row r="11" spans="1:40">
      <c r="A11" s="3"/>
      <c r="B11" s="116" t="str">
        <f>IF('Input-EWEMs'!D21="","",IF(COUNTIF('Input-EWEMs'!C$52:C$61,'Input-EWEMs'!C21)&lt;1,'Lender Validation'!B50,"No"))</f>
        <v/>
      </c>
      <c r="C11" s="3" t="str">
        <f>IF('Input-EWEMs'!$D21="", "", 'Input-EWEMs'!C21)</f>
        <v/>
      </c>
      <c r="D11" s="3" t="str">
        <f>IF('Input-EWEMs'!$D21="", "", 'Input-EWEMs'!D21)</f>
        <v/>
      </c>
      <c r="E11" s="3" t="str">
        <f>IF('Input-EWEMs'!$D21="", "", IFERROR(INDEX('Reference-MeasureList'!$O$47:$O$50,MATCH('Input-EWEMs'!E21,'Reference-MeasureList'!$J$47:$J$50,0)),'Input-EWEMs'!E21))</f>
        <v/>
      </c>
      <c r="F11" s="3" t="str">
        <f>IF('Input-EWEMs'!$D21="", "", 'Input-EWEMs'!F21)</f>
        <v/>
      </c>
      <c r="G11" s="3" t="str">
        <f>IF('Input-EWEMs'!$D21="", "", 'Input-EWEMs'!G21)</f>
        <v/>
      </c>
      <c r="H11" s="3" t="str">
        <f>IF('Input-EWEMs'!$H21="", "", 'Input-EWEMs'!H21)</f>
        <v/>
      </c>
      <c r="I11" s="3" t="str">
        <f>IF('Input-EWEMs'!$I21="", "", 'Input-EWEMs'!I21)</f>
        <v/>
      </c>
      <c r="J11" s="3" t="str">
        <f>IF('Input-EWEMs'!$I21="", "", I11/'DB-Properties'!$K$2)</f>
        <v/>
      </c>
      <c r="K11" s="116" t="str">
        <f>IF('Input-EWEMs'!$D21="", "",ROUND('Input-EWEMs'!K21,0))</f>
        <v/>
      </c>
      <c r="L11" s="116" t="str">
        <f>IF('Input-EWEMs'!$D21="", "",SUM(O11,R11))</f>
        <v/>
      </c>
      <c r="M11" s="116" t="str">
        <f>IF('Input-EWEMs'!$D21="", "",ROUND('Input-EWEMs'!L21,0))</f>
        <v/>
      </c>
      <c r="N11" s="116" t="str">
        <f>IF('Input-EWEMs'!$D21="", "",ROUND('Input-EWEMs'!M21,0))</f>
        <v/>
      </c>
      <c r="O11" s="116" t="str">
        <f>IF('Input-EWEMs'!$D21="", "",ROUND('Input-EWEMs'!N21,0))</f>
        <v/>
      </c>
      <c r="P11" s="116" t="str">
        <f>IF('Input-EWEMs'!$D21="", "",ROUND('Input-EWEMs'!O21,0))</f>
        <v/>
      </c>
      <c r="Q11" s="116" t="str">
        <f>IF('Input-EWEMs'!$D21="", "",ROUND('Input-EWEMs'!P21,0))</f>
        <v/>
      </c>
      <c r="R11" s="116" t="str">
        <f>IF('Input-EWEMs'!$D21="", "",ROUND('Input-EWEMs'!Q21,0))</f>
        <v/>
      </c>
      <c r="S11" s="116" t="str">
        <f>IF('Input-EWEMs'!$D21="", "",'Input-EWEMs'!V21)</f>
        <v/>
      </c>
      <c r="T11" s="116" t="str">
        <f>IF('Input-EWEMs'!$D21="", "",IFERROR(INDEX('Input-EWEMs'!$W21:$X21,MATCH("Natural Gas",'Input-EWEMs'!$W$10:$X$10,0)),0))</f>
        <v/>
      </c>
      <c r="U11" s="116" t="str">
        <f>IF('Input-EWEMs'!$D21="", "",IFERROR(INDEX('Input-EWEMs'!$W21:$X21,MATCH("Fuel Oil #2",'Input-EWEMs'!$W$10:$X$10,0)),0))</f>
        <v/>
      </c>
      <c r="V11" s="116" t="str">
        <f>IF('Input-EWEMs'!$D21="", "",IFERROR(INDEX('Input-EWEMs'!$W21:$X21,MATCH("Fuel Oil #4",'Input-EWEMs'!$W$10:$X$10,0)),0))</f>
        <v/>
      </c>
      <c r="W11" s="116" t="str">
        <f>IF('Input-EWEMs'!$D21="", "",IFERROR(INDEX('Input-EWEMs'!$W21:$X21,MATCH("Fuel Oil #6",'Input-EWEMs'!$W$10:$X$10,0)),0))</f>
        <v/>
      </c>
      <c r="X11" s="116" t="str">
        <f>IF('Input-EWEMs'!$D21="", "",IFERROR(INDEX('Input-EWEMs'!$W21:$X21,MATCH("District Steam",'Input-EWEMs'!$W$10:$X$10,0)),0))</f>
        <v/>
      </c>
      <c r="Y11" s="116" t="str">
        <f>IF('Input-EWEMs'!$D21="", "",IFERROR(INDEX('Input-EWEMs'!$W21:$X21,MATCH("Propane",'Input-EWEMs'!$W$10:$X$10,0)),0))</f>
        <v/>
      </c>
      <c r="Z11" s="116" t="str">
        <f>IF('Input-EWEMs'!$D21="", "",'Input-EWEMs'!Y21)</f>
        <v/>
      </c>
      <c r="AA11" s="116" t="str">
        <f>IF('Input-EWEMs'!$D21="", "",IFERROR(INDEX('Input-EWEMs'!$Z21:$AA21,MATCH("Natural Gas",'Input-EWEMs'!$Z$10:$AA$10,0)),0))</f>
        <v/>
      </c>
      <c r="AB11" s="116" t="str">
        <f>IF('Input-EWEMs'!$D21="", "",IFERROR(INDEX('Input-EWEMs'!$Z21:$AA21,MATCH("Fuel Oil #2",'Input-EWEMs'!$Z$10:$AA$10,0)),0))</f>
        <v/>
      </c>
      <c r="AC11" s="116" t="str">
        <f>IF('Input-EWEMs'!$D21="", "",IFERROR(INDEX('Input-EWEMs'!$Z21:$AA21,MATCH("Fuel Oil #4",'Input-EWEMs'!$Z$10:$AA$10,0)),0))</f>
        <v/>
      </c>
      <c r="AD11" s="116" t="str">
        <f>IF('Input-EWEMs'!$D21="", "",IFERROR(INDEX('Input-EWEMs'!$Z21:$AA21,MATCH("Fuel Oil #6",'Input-EWEMs'!$Z$10:$AA$10,0)),0))</f>
        <v/>
      </c>
      <c r="AE11" s="116" t="str">
        <f>IF('Input-EWEMs'!$D21="", "",IFERROR(INDEX('Input-EWEMs'!$Z21:$AA21,MATCH("District Steam",'Input-EWEMs'!$Z$10:$AA$10,0)),0))</f>
        <v/>
      </c>
      <c r="AF11" s="116" t="str">
        <f>IF('Input-EWEMs'!$D21="", "",IFERROR(INDEX('Input-EWEMs'!$Z21:$AA21,MATCH("Propane",'Input-EWEMs'!$Z$10:$AA$10,0)),0))</f>
        <v/>
      </c>
      <c r="AG11" s="116" t="str">
        <f>IF('Input-EWEMs'!$D21="", "",SUM(S11:Y11))</f>
        <v/>
      </c>
      <c r="AH11" s="116" t="str">
        <f>IF('Input-EWEMs'!$D21="", "",SUM(Z11:AF11))</f>
        <v/>
      </c>
      <c r="AI11" s="116" t="str">
        <f>IF('Input-EWEMs'!$D21="", "",'Input-EWEMs'!AD21)</f>
        <v/>
      </c>
      <c r="AJ11" s="3" t="str">
        <f>IF('Input-EWEMs'!$D21="", "",'Input-EWEMs'!AF21)</f>
        <v/>
      </c>
      <c r="AK11" s="3" t="str">
        <f>IF('Input-EWEMs'!$D21="", "",'Input-EWEMs'!AG21)</f>
        <v/>
      </c>
      <c r="AL11" s="116" t="str">
        <f>IF('Input-EWEMs'!$D21="", "",'Input-EWEMs'!AH21)</f>
        <v/>
      </c>
      <c r="AM11" s="116" t="str">
        <f t="shared" si="0"/>
        <v/>
      </c>
      <c r="AN11" s="116" t="str">
        <f>IF('Input-EWEMs'!$D21="", "",IFERROR('Input-EWEMs'!R21*INDEX(Assumptions!$H$6:$H$22,MATCH('Input-EWEMs'!R$11,Assumptions!$C$6:$C$22,0)),0)+IFERROR('Input-EWEMs'!S21*INDEX(Assumptions!$H$6:$H$22,MATCH('Input-EWEMs'!S$11,Assumptions!$C$6:$C$22,0)),0)+IFERROR('Input-EWEMs'!T21*INDEX(Assumptions!$H$6:$H$22,MATCH('Input-EWEMs'!T$11,Assumptions!$C$6:$C$22,0)),0))</f>
        <v/>
      </c>
    </row>
    <row r="12" spans="1:40">
      <c r="A12" s="3"/>
      <c r="B12" s="116" t="str">
        <f>IF('Input-EWEMs'!D22="","",IF(COUNTIF('Input-EWEMs'!C$52:C$61,'Input-EWEMs'!C22)&lt;1,'Lender Validation'!B51,"No"))</f>
        <v/>
      </c>
      <c r="C12" s="3" t="str">
        <f>IF('Input-EWEMs'!$D22="", "", 'Input-EWEMs'!C22)</f>
        <v/>
      </c>
      <c r="D12" s="3" t="str">
        <f>IF('Input-EWEMs'!$D22="", "", 'Input-EWEMs'!D22)</f>
        <v/>
      </c>
      <c r="E12" s="3" t="str">
        <f>IF('Input-EWEMs'!$D22="", "", IFERROR(INDEX('Reference-MeasureList'!$O$47:$O$50,MATCH('Input-EWEMs'!E22,'Reference-MeasureList'!$J$47:$J$50,0)),'Input-EWEMs'!E22))</f>
        <v/>
      </c>
      <c r="F12" s="3" t="str">
        <f>IF('Input-EWEMs'!$D22="", "", 'Input-EWEMs'!F22)</f>
        <v/>
      </c>
      <c r="G12" s="3" t="str">
        <f>IF('Input-EWEMs'!$D22="", "", 'Input-EWEMs'!G22)</f>
        <v/>
      </c>
      <c r="H12" s="3" t="str">
        <f>IF('Input-EWEMs'!$H22="", "", 'Input-EWEMs'!H22)</f>
        <v/>
      </c>
      <c r="I12" s="3" t="str">
        <f>IF('Input-EWEMs'!$I22="", "", 'Input-EWEMs'!I22)</f>
        <v/>
      </c>
      <c r="J12" s="3" t="str">
        <f>IF('Input-EWEMs'!$I22="", "", I12/'DB-Properties'!$K$2)</f>
        <v/>
      </c>
      <c r="K12" s="116" t="str">
        <f>IF('Input-EWEMs'!$D22="", "",ROUND('Input-EWEMs'!K22,0))</f>
        <v/>
      </c>
      <c r="L12" s="116" t="str">
        <f>IF('Input-EWEMs'!$D22="", "",SUM(O12,R12))</f>
        <v/>
      </c>
      <c r="M12" s="116" t="str">
        <f>IF('Input-EWEMs'!$D22="", "",ROUND('Input-EWEMs'!L22,0))</f>
        <v/>
      </c>
      <c r="N12" s="116" t="str">
        <f>IF('Input-EWEMs'!$D22="", "",ROUND('Input-EWEMs'!M22,0))</f>
        <v/>
      </c>
      <c r="O12" s="116" t="str">
        <f>IF('Input-EWEMs'!$D22="", "",ROUND('Input-EWEMs'!N22,0))</f>
        <v/>
      </c>
      <c r="P12" s="116" t="str">
        <f>IF('Input-EWEMs'!$D22="", "",ROUND('Input-EWEMs'!O22,0))</f>
        <v/>
      </c>
      <c r="Q12" s="116" t="str">
        <f>IF('Input-EWEMs'!$D22="", "",ROUND('Input-EWEMs'!P22,0))</f>
        <v/>
      </c>
      <c r="R12" s="116" t="str">
        <f>IF('Input-EWEMs'!$D22="", "",ROUND('Input-EWEMs'!Q22,0))</f>
        <v/>
      </c>
      <c r="S12" s="116" t="str">
        <f>IF('Input-EWEMs'!$D22="", "",'Input-EWEMs'!V22)</f>
        <v/>
      </c>
      <c r="T12" s="116" t="str">
        <f>IF('Input-EWEMs'!$D22="", "",IFERROR(INDEX('Input-EWEMs'!$W22:$X22,MATCH("Natural Gas",'Input-EWEMs'!$W$10:$X$10,0)),0))</f>
        <v/>
      </c>
      <c r="U12" s="116" t="str">
        <f>IF('Input-EWEMs'!$D22="", "",IFERROR(INDEX('Input-EWEMs'!$W22:$X22,MATCH("Fuel Oil #2",'Input-EWEMs'!$W$10:$X$10,0)),0))</f>
        <v/>
      </c>
      <c r="V12" s="116" t="str">
        <f>IF('Input-EWEMs'!$D22="", "",IFERROR(INDEX('Input-EWEMs'!$W22:$X22,MATCH("Fuel Oil #4",'Input-EWEMs'!$W$10:$X$10,0)),0))</f>
        <v/>
      </c>
      <c r="W12" s="116" t="str">
        <f>IF('Input-EWEMs'!$D22="", "",IFERROR(INDEX('Input-EWEMs'!$W22:$X22,MATCH("Fuel Oil #6",'Input-EWEMs'!$W$10:$X$10,0)),0))</f>
        <v/>
      </c>
      <c r="X12" s="116" t="str">
        <f>IF('Input-EWEMs'!$D22="", "",IFERROR(INDEX('Input-EWEMs'!$W22:$X22,MATCH("District Steam",'Input-EWEMs'!$W$10:$X$10,0)),0))</f>
        <v/>
      </c>
      <c r="Y12" s="116" t="str">
        <f>IF('Input-EWEMs'!$D22="", "",IFERROR(INDEX('Input-EWEMs'!$W22:$X22,MATCH("Propane",'Input-EWEMs'!$W$10:$X$10,0)),0))</f>
        <v/>
      </c>
      <c r="Z12" s="116" t="str">
        <f>IF('Input-EWEMs'!$D22="", "",'Input-EWEMs'!Y22)</f>
        <v/>
      </c>
      <c r="AA12" s="116" t="str">
        <f>IF('Input-EWEMs'!$D22="", "",IFERROR(INDEX('Input-EWEMs'!$Z22:$AA22,MATCH("Natural Gas",'Input-EWEMs'!$Z$10:$AA$10,0)),0))</f>
        <v/>
      </c>
      <c r="AB12" s="116" t="str">
        <f>IF('Input-EWEMs'!$D22="", "",IFERROR(INDEX('Input-EWEMs'!$Z22:$AA22,MATCH("Fuel Oil #2",'Input-EWEMs'!$Z$10:$AA$10,0)),0))</f>
        <v/>
      </c>
      <c r="AC12" s="116" t="str">
        <f>IF('Input-EWEMs'!$D22="", "",IFERROR(INDEX('Input-EWEMs'!$Z22:$AA22,MATCH("Fuel Oil #4",'Input-EWEMs'!$Z$10:$AA$10,0)),0))</f>
        <v/>
      </c>
      <c r="AD12" s="116" t="str">
        <f>IF('Input-EWEMs'!$D22="", "",IFERROR(INDEX('Input-EWEMs'!$Z22:$AA22,MATCH("Fuel Oil #6",'Input-EWEMs'!$Z$10:$AA$10,0)),0))</f>
        <v/>
      </c>
      <c r="AE12" s="116" t="str">
        <f>IF('Input-EWEMs'!$D22="", "",IFERROR(INDEX('Input-EWEMs'!$Z22:$AA22,MATCH("District Steam",'Input-EWEMs'!$Z$10:$AA$10,0)),0))</f>
        <v/>
      </c>
      <c r="AF12" s="116" t="str">
        <f>IF('Input-EWEMs'!$D22="", "",IFERROR(INDEX('Input-EWEMs'!$Z22:$AA22,MATCH("Propane",'Input-EWEMs'!$Z$10:$AA$10,0)),0))</f>
        <v/>
      </c>
      <c r="AG12" s="116" t="str">
        <f>IF('Input-EWEMs'!$D22="", "",SUM(S12:Y12))</f>
        <v/>
      </c>
      <c r="AH12" s="116" t="str">
        <f>IF('Input-EWEMs'!$D22="", "",SUM(Z12:AF12))</f>
        <v/>
      </c>
      <c r="AI12" s="116" t="str">
        <f>IF('Input-EWEMs'!$D22="", "",'Input-EWEMs'!AD22)</f>
        <v/>
      </c>
      <c r="AJ12" s="3" t="str">
        <f>IF('Input-EWEMs'!$D22="", "",'Input-EWEMs'!AF22)</f>
        <v/>
      </c>
      <c r="AK12" s="3" t="str">
        <f>IF('Input-EWEMs'!$D22="", "",'Input-EWEMs'!AG22)</f>
        <v/>
      </c>
      <c r="AL12" s="116" t="str">
        <f>IF('Input-EWEMs'!$D22="", "",'Input-EWEMs'!AH22)</f>
        <v/>
      </c>
      <c r="AM12" s="116" t="str">
        <f t="shared" si="0"/>
        <v/>
      </c>
      <c r="AN12" s="116" t="str">
        <f>IF('Input-EWEMs'!$D22="", "",IFERROR('Input-EWEMs'!R22*INDEX(Assumptions!$H$6:$H$22,MATCH('Input-EWEMs'!R$11,Assumptions!$C$6:$C$22,0)),0)+IFERROR('Input-EWEMs'!S22*INDEX(Assumptions!$H$6:$H$22,MATCH('Input-EWEMs'!S$11,Assumptions!$C$6:$C$22,0)),0)+IFERROR('Input-EWEMs'!T22*INDEX(Assumptions!$H$6:$H$22,MATCH('Input-EWEMs'!T$11,Assumptions!$C$6:$C$22,0)),0))</f>
        <v/>
      </c>
    </row>
    <row r="13" spans="1:40">
      <c r="A13" s="3"/>
      <c r="B13" s="116" t="str">
        <f>IF('Input-EWEMs'!D23="","",IF(COUNTIF('Input-EWEMs'!C$52:C$61,'Input-EWEMs'!C23)&lt;1,'Lender Validation'!B52,"No"))</f>
        <v/>
      </c>
      <c r="C13" s="3" t="str">
        <f>IF('Input-EWEMs'!$D23="", "", 'Input-EWEMs'!C23)</f>
        <v/>
      </c>
      <c r="D13" s="3" t="str">
        <f>IF('Input-EWEMs'!$D23="", "", 'Input-EWEMs'!D23)</f>
        <v/>
      </c>
      <c r="E13" s="3" t="str">
        <f>IF('Input-EWEMs'!$D23="", "", IFERROR(INDEX('Reference-MeasureList'!$O$47:$O$50,MATCH('Input-EWEMs'!E23,'Reference-MeasureList'!$J$47:$J$50,0)),'Input-EWEMs'!E23))</f>
        <v/>
      </c>
      <c r="F13" s="3" t="str">
        <f>IF('Input-EWEMs'!$D23="", "", 'Input-EWEMs'!F23)</f>
        <v/>
      </c>
      <c r="G13" s="3" t="str">
        <f>IF('Input-EWEMs'!$D23="", "", 'Input-EWEMs'!G23)</f>
        <v/>
      </c>
      <c r="H13" s="3" t="str">
        <f>IF('Input-EWEMs'!$H23="", "", 'Input-EWEMs'!H23)</f>
        <v/>
      </c>
      <c r="I13" s="3" t="str">
        <f>IF('Input-EWEMs'!$I23="", "", 'Input-EWEMs'!I23)</f>
        <v/>
      </c>
      <c r="J13" s="3" t="str">
        <f>IF('Input-EWEMs'!$I23="", "", I13/'DB-Properties'!$K$2)</f>
        <v/>
      </c>
      <c r="K13" s="116" t="str">
        <f>IF('Input-EWEMs'!$D23="", "",ROUND('Input-EWEMs'!K23,0))</f>
        <v/>
      </c>
      <c r="L13" s="116" t="str">
        <f>IF('Input-EWEMs'!$D23="", "",SUM(O13,R13))</f>
        <v/>
      </c>
      <c r="M13" s="116" t="str">
        <f>IF('Input-EWEMs'!$D23="", "",ROUND('Input-EWEMs'!L23,0))</f>
        <v/>
      </c>
      <c r="N13" s="116" t="str">
        <f>IF('Input-EWEMs'!$D23="", "",ROUND('Input-EWEMs'!M23,0))</f>
        <v/>
      </c>
      <c r="O13" s="116" t="str">
        <f>IF('Input-EWEMs'!$D23="", "",ROUND('Input-EWEMs'!N23,0))</f>
        <v/>
      </c>
      <c r="P13" s="116" t="str">
        <f>IF('Input-EWEMs'!$D23="", "",ROUND('Input-EWEMs'!O23,0))</f>
        <v/>
      </c>
      <c r="Q13" s="116" t="str">
        <f>IF('Input-EWEMs'!$D23="", "",ROUND('Input-EWEMs'!P23,0))</f>
        <v/>
      </c>
      <c r="R13" s="116" t="str">
        <f>IF('Input-EWEMs'!$D23="", "",ROUND('Input-EWEMs'!Q23,0))</f>
        <v/>
      </c>
      <c r="S13" s="116" t="str">
        <f>IF('Input-EWEMs'!$D23="", "",'Input-EWEMs'!V23)</f>
        <v/>
      </c>
      <c r="T13" s="116" t="str">
        <f>IF('Input-EWEMs'!$D23="", "",IFERROR(INDEX('Input-EWEMs'!$W23:$X23,MATCH("Natural Gas",'Input-EWEMs'!$W$10:$X$10,0)),0))</f>
        <v/>
      </c>
      <c r="U13" s="116" t="str">
        <f>IF('Input-EWEMs'!$D23="", "",IFERROR(INDEX('Input-EWEMs'!$W23:$X23,MATCH("Fuel Oil #2",'Input-EWEMs'!$W$10:$X$10,0)),0))</f>
        <v/>
      </c>
      <c r="V13" s="116" t="str">
        <f>IF('Input-EWEMs'!$D23="", "",IFERROR(INDEX('Input-EWEMs'!$W23:$X23,MATCH("Fuel Oil #4",'Input-EWEMs'!$W$10:$X$10,0)),0))</f>
        <v/>
      </c>
      <c r="W13" s="116" t="str">
        <f>IF('Input-EWEMs'!$D23="", "",IFERROR(INDEX('Input-EWEMs'!$W23:$X23,MATCH("Fuel Oil #6",'Input-EWEMs'!$W$10:$X$10,0)),0))</f>
        <v/>
      </c>
      <c r="X13" s="116" t="str">
        <f>IF('Input-EWEMs'!$D23="", "",IFERROR(INDEX('Input-EWEMs'!$W23:$X23,MATCH("District Steam",'Input-EWEMs'!$W$10:$X$10,0)),0))</f>
        <v/>
      </c>
      <c r="Y13" s="116" t="str">
        <f>IF('Input-EWEMs'!$D23="", "",IFERROR(INDEX('Input-EWEMs'!$W23:$X23,MATCH("Propane",'Input-EWEMs'!$W$10:$X$10,0)),0))</f>
        <v/>
      </c>
      <c r="Z13" s="116" t="str">
        <f>IF('Input-EWEMs'!$D23="", "",'Input-EWEMs'!Y23)</f>
        <v/>
      </c>
      <c r="AA13" s="116" t="str">
        <f>IF('Input-EWEMs'!$D23="", "",IFERROR(INDEX('Input-EWEMs'!$Z23:$AA23,MATCH("Natural Gas",'Input-EWEMs'!$Z$10:$AA$10,0)),0))</f>
        <v/>
      </c>
      <c r="AB13" s="116" t="str">
        <f>IF('Input-EWEMs'!$D23="", "",IFERROR(INDEX('Input-EWEMs'!$Z23:$AA23,MATCH("Fuel Oil #2",'Input-EWEMs'!$Z$10:$AA$10,0)),0))</f>
        <v/>
      </c>
      <c r="AC13" s="116" t="str">
        <f>IF('Input-EWEMs'!$D23="", "",IFERROR(INDEX('Input-EWEMs'!$Z23:$AA23,MATCH("Fuel Oil #4",'Input-EWEMs'!$Z$10:$AA$10,0)),0))</f>
        <v/>
      </c>
      <c r="AD13" s="116" t="str">
        <f>IF('Input-EWEMs'!$D23="", "",IFERROR(INDEX('Input-EWEMs'!$Z23:$AA23,MATCH("Fuel Oil #6",'Input-EWEMs'!$Z$10:$AA$10,0)),0))</f>
        <v/>
      </c>
      <c r="AE13" s="116" t="str">
        <f>IF('Input-EWEMs'!$D23="", "",IFERROR(INDEX('Input-EWEMs'!$Z23:$AA23,MATCH("District Steam",'Input-EWEMs'!$Z$10:$AA$10,0)),0))</f>
        <v/>
      </c>
      <c r="AF13" s="116" t="str">
        <f>IF('Input-EWEMs'!$D23="", "",IFERROR(INDEX('Input-EWEMs'!$Z23:$AA23,MATCH("Propane",'Input-EWEMs'!$Z$10:$AA$10,0)),0))</f>
        <v/>
      </c>
      <c r="AG13" s="116" t="str">
        <f>IF('Input-EWEMs'!$D23="", "",SUM(S13:Y13))</f>
        <v/>
      </c>
      <c r="AH13" s="116" t="str">
        <f>IF('Input-EWEMs'!$D23="", "",SUM(Z13:AF13))</f>
        <v/>
      </c>
      <c r="AI13" s="116" t="str">
        <f>IF('Input-EWEMs'!$D23="", "",'Input-EWEMs'!AD23)</f>
        <v/>
      </c>
      <c r="AJ13" s="3" t="str">
        <f>IF('Input-EWEMs'!$D23="", "",'Input-EWEMs'!AF23)</f>
        <v/>
      </c>
      <c r="AK13" s="3" t="str">
        <f>IF('Input-EWEMs'!$D23="", "",'Input-EWEMs'!AG23)</f>
        <v/>
      </c>
      <c r="AL13" s="116" t="str">
        <f>IF('Input-EWEMs'!$D23="", "",'Input-EWEMs'!AH23)</f>
        <v/>
      </c>
      <c r="AM13" s="116" t="str">
        <f t="shared" si="0"/>
        <v/>
      </c>
      <c r="AN13" s="116" t="str">
        <f>IF('Input-EWEMs'!$D23="", "",IFERROR('Input-EWEMs'!R23*INDEX(Assumptions!$H$6:$H$22,MATCH('Input-EWEMs'!R$11,Assumptions!$C$6:$C$22,0)),0)+IFERROR('Input-EWEMs'!S23*INDEX(Assumptions!$H$6:$H$22,MATCH('Input-EWEMs'!S$11,Assumptions!$C$6:$C$22,0)),0)+IFERROR('Input-EWEMs'!T23*INDEX(Assumptions!$H$6:$H$22,MATCH('Input-EWEMs'!T$11,Assumptions!$C$6:$C$22,0)),0))</f>
        <v/>
      </c>
    </row>
    <row r="14" spans="1:40">
      <c r="A14" s="3"/>
      <c r="B14" s="116" t="str">
        <f>IF('Input-EWEMs'!D24="","",IF(COUNTIF('Input-EWEMs'!C$52:C$61,'Input-EWEMs'!C24)&lt;1,'Lender Validation'!B53,"No"))</f>
        <v/>
      </c>
      <c r="C14" s="3" t="str">
        <f>IF('Input-EWEMs'!$D24="", "", 'Input-EWEMs'!C24)</f>
        <v/>
      </c>
      <c r="D14" s="3" t="str">
        <f>IF('Input-EWEMs'!$D24="", "", 'Input-EWEMs'!D24)</f>
        <v/>
      </c>
      <c r="E14" s="3" t="str">
        <f>IF('Input-EWEMs'!$D24="", "", IFERROR(INDEX('Reference-MeasureList'!$O$47:$O$50,MATCH('Input-EWEMs'!E24,'Reference-MeasureList'!$J$47:$J$50,0)),'Input-EWEMs'!E24))</f>
        <v/>
      </c>
      <c r="F14" s="3" t="str">
        <f>IF('Input-EWEMs'!$D24="", "", 'Input-EWEMs'!F24)</f>
        <v/>
      </c>
      <c r="G14" s="3" t="str">
        <f>IF('Input-EWEMs'!$D24="", "", 'Input-EWEMs'!G24)</f>
        <v/>
      </c>
      <c r="H14" s="3" t="str">
        <f>IF('Input-EWEMs'!$H24="", "", 'Input-EWEMs'!H24)</f>
        <v/>
      </c>
      <c r="I14" s="3" t="str">
        <f>IF('Input-EWEMs'!$I24="", "", 'Input-EWEMs'!I24)</f>
        <v/>
      </c>
      <c r="J14" s="3" t="str">
        <f>IF('Input-EWEMs'!$I24="", "", I14/'DB-Properties'!$K$2)</f>
        <v/>
      </c>
      <c r="K14" s="116" t="str">
        <f>IF('Input-EWEMs'!$D24="", "",ROUND('Input-EWEMs'!K24,0))</f>
        <v/>
      </c>
      <c r="L14" s="116" t="str">
        <f>IF('Input-EWEMs'!$D24="", "",SUM(O14,R14))</f>
        <v/>
      </c>
      <c r="M14" s="116" t="str">
        <f>IF('Input-EWEMs'!$D24="", "",ROUND('Input-EWEMs'!L24,0))</f>
        <v/>
      </c>
      <c r="N14" s="116" t="str">
        <f>IF('Input-EWEMs'!$D24="", "",ROUND('Input-EWEMs'!M24,0))</f>
        <v/>
      </c>
      <c r="O14" s="116" t="str">
        <f>IF('Input-EWEMs'!$D24="", "",ROUND('Input-EWEMs'!N24,0))</f>
        <v/>
      </c>
      <c r="P14" s="116" t="str">
        <f>IF('Input-EWEMs'!$D24="", "",ROUND('Input-EWEMs'!O24,0))</f>
        <v/>
      </c>
      <c r="Q14" s="116" t="str">
        <f>IF('Input-EWEMs'!$D24="", "",ROUND('Input-EWEMs'!P24,0))</f>
        <v/>
      </c>
      <c r="R14" s="116" t="str">
        <f>IF('Input-EWEMs'!$D24="", "",ROUND('Input-EWEMs'!Q24,0))</f>
        <v/>
      </c>
      <c r="S14" s="116" t="str">
        <f>IF('Input-EWEMs'!$D24="", "",'Input-EWEMs'!V24)</f>
        <v/>
      </c>
      <c r="T14" s="116" t="str">
        <f>IF('Input-EWEMs'!$D24="", "",IFERROR(INDEX('Input-EWEMs'!$W24:$X24,MATCH("Natural Gas",'Input-EWEMs'!$W$10:$X$10,0)),0))</f>
        <v/>
      </c>
      <c r="U14" s="116" t="str">
        <f>IF('Input-EWEMs'!$D24="", "",IFERROR(INDEX('Input-EWEMs'!$W24:$X24,MATCH("Fuel Oil #2",'Input-EWEMs'!$W$10:$X$10,0)),0))</f>
        <v/>
      </c>
      <c r="V14" s="116" t="str">
        <f>IF('Input-EWEMs'!$D24="", "",IFERROR(INDEX('Input-EWEMs'!$W24:$X24,MATCH("Fuel Oil #4",'Input-EWEMs'!$W$10:$X$10,0)),0))</f>
        <v/>
      </c>
      <c r="W14" s="116" t="str">
        <f>IF('Input-EWEMs'!$D24="", "",IFERROR(INDEX('Input-EWEMs'!$W24:$X24,MATCH("Fuel Oil #6",'Input-EWEMs'!$W$10:$X$10,0)),0))</f>
        <v/>
      </c>
      <c r="X14" s="116" t="str">
        <f>IF('Input-EWEMs'!$D24="", "",IFERROR(INDEX('Input-EWEMs'!$W24:$X24,MATCH("District Steam",'Input-EWEMs'!$W$10:$X$10,0)),0))</f>
        <v/>
      </c>
      <c r="Y14" s="116" t="str">
        <f>IF('Input-EWEMs'!$D24="", "",IFERROR(INDEX('Input-EWEMs'!$W24:$X24,MATCH("Propane",'Input-EWEMs'!$W$10:$X$10,0)),0))</f>
        <v/>
      </c>
      <c r="Z14" s="116" t="str">
        <f>IF('Input-EWEMs'!$D24="", "",'Input-EWEMs'!Y24)</f>
        <v/>
      </c>
      <c r="AA14" s="116" t="str">
        <f>IF('Input-EWEMs'!$D24="", "",IFERROR(INDEX('Input-EWEMs'!$Z24:$AA24,MATCH("Natural Gas",'Input-EWEMs'!$Z$10:$AA$10,0)),0))</f>
        <v/>
      </c>
      <c r="AB14" s="116" t="str">
        <f>IF('Input-EWEMs'!$D24="", "",IFERROR(INDEX('Input-EWEMs'!$Z24:$AA24,MATCH("Fuel Oil #2",'Input-EWEMs'!$Z$10:$AA$10,0)),0))</f>
        <v/>
      </c>
      <c r="AC14" s="116" t="str">
        <f>IF('Input-EWEMs'!$D24="", "",IFERROR(INDEX('Input-EWEMs'!$Z24:$AA24,MATCH("Fuel Oil #4",'Input-EWEMs'!$Z$10:$AA$10,0)),0))</f>
        <v/>
      </c>
      <c r="AD14" s="116" t="str">
        <f>IF('Input-EWEMs'!$D24="", "",IFERROR(INDEX('Input-EWEMs'!$Z24:$AA24,MATCH("Fuel Oil #6",'Input-EWEMs'!$Z$10:$AA$10,0)),0))</f>
        <v/>
      </c>
      <c r="AE14" s="116" t="str">
        <f>IF('Input-EWEMs'!$D24="", "",IFERROR(INDEX('Input-EWEMs'!$Z24:$AA24,MATCH("District Steam",'Input-EWEMs'!$Z$10:$AA$10,0)),0))</f>
        <v/>
      </c>
      <c r="AF14" s="116" t="str">
        <f>IF('Input-EWEMs'!$D24="", "",IFERROR(INDEX('Input-EWEMs'!$Z24:$AA24,MATCH("Propane",'Input-EWEMs'!$Z$10:$AA$10,0)),0))</f>
        <v/>
      </c>
      <c r="AG14" s="116" t="str">
        <f>IF('Input-EWEMs'!$D24="", "",SUM(S14:Y14))</f>
        <v/>
      </c>
      <c r="AH14" s="116" t="str">
        <f>IF('Input-EWEMs'!$D24="", "",SUM(Z14:AF14))</f>
        <v/>
      </c>
      <c r="AI14" s="116" t="str">
        <f>IF('Input-EWEMs'!$D24="", "",'Input-EWEMs'!AD24)</f>
        <v/>
      </c>
      <c r="AJ14" s="3" t="str">
        <f>IF('Input-EWEMs'!$D24="", "",'Input-EWEMs'!AF24)</f>
        <v/>
      </c>
      <c r="AK14" s="3" t="str">
        <f>IF('Input-EWEMs'!$D24="", "",'Input-EWEMs'!AG24)</f>
        <v/>
      </c>
      <c r="AL14" s="116" t="str">
        <f>IF('Input-EWEMs'!$D24="", "",'Input-EWEMs'!AH24)</f>
        <v/>
      </c>
      <c r="AM14" s="116" t="str">
        <f t="shared" si="0"/>
        <v/>
      </c>
      <c r="AN14" s="116" t="str">
        <f>IF('Input-EWEMs'!$D24="", "",IFERROR('Input-EWEMs'!R24*INDEX(Assumptions!$H$6:$H$22,MATCH('Input-EWEMs'!R$11,Assumptions!$C$6:$C$22,0)),0)+IFERROR('Input-EWEMs'!S24*INDEX(Assumptions!$H$6:$H$22,MATCH('Input-EWEMs'!S$11,Assumptions!$C$6:$C$22,0)),0)+IFERROR('Input-EWEMs'!T24*INDEX(Assumptions!$H$6:$H$22,MATCH('Input-EWEMs'!T$11,Assumptions!$C$6:$C$22,0)),0))</f>
        <v/>
      </c>
    </row>
    <row r="15" spans="1:40">
      <c r="A15" s="3"/>
      <c r="B15" s="116" t="str">
        <f>IF('Input-EWEMs'!D25="","",IF(COUNTIF('Input-EWEMs'!C$52:C$61,'Input-EWEMs'!C25)&lt;1,'Lender Validation'!B54,"No"))</f>
        <v/>
      </c>
      <c r="C15" s="3" t="str">
        <f>IF('Input-EWEMs'!$D25="", "", 'Input-EWEMs'!C25)</f>
        <v/>
      </c>
      <c r="D15" s="3" t="str">
        <f>IF('Input-EWEMs'!$D25="", "", 'Input-EWEMs'!D25)</f>
        <v/>
      </c>
      <c r="E15" s="3" t="str">
        <f>IF('Input-EWEMs'!$D25="", "", IFERROR(INDEX('Reference-MeasureList'!$O$47:$O$50,MATCH('Input-EWEMs'!E25,'Reference-MeasureList'!$J$47:$J$50,0)),'Input-EWEMs'!E25))</f>
        <v/>
      </c>
      <c r="F15" s="3" t="str">
        <f>IF('Input-EWEMs'!$D25="", "", 'Input-EWEMs'!F25)</f>
        <v/>
      </c>
      <c r="G15" s="3" t="str">
        <f>IF('Input-EWEMs'!$D25="", "", 'Input-EWEMs'!G25)</f>
        <v/>
      </c>
      <c r="H15" s="3" t="str">
        <f>IF('Input-EWEMs'!$H25="", "", 'Input-EWEMs'!H25)</f>
        <v/>
      </c>
      <c r="I15" s="3" t="str">
        <f>IF('Input-EWEMs'!$I25="", "", 'Input-EWEMs'!I25)</f>
        <v/>
      </c>
      <c r="J15" s="3" t="str">
        <f>IF('Input-EWEMs'!$I25="", "", I15/'DB-Properties'!$K$2)</f>
        <v/>
      </c>
      <c r="K15" s="116" t="str">
        <f>IF('Input-EWEMs'!$D25="", "",ROUND('Input-EWEMs'!K25,0))</f>
        <v/>
      </c>
      <c r="L15" s="116" t="str">
        <f>IF('Input-EWEMs'!$D25="", "",SUM(O15,R15))</f>
        <v/>
      </c>
      <c r="M15" s="116" t="str">
        <f>IF('Input-EWEMs'!$D25="", "",ROUND('Input-EWEMs'!L25,0))</f>
        <v/>
      </c>
      <c r="N15" s="116" t="str">
        <f>IF('Input-EWEMs'!$D25="", "",ROUND('Input-EWEMs'!M25,0))</f>
        <v/>
      </c>
      <c r="O15" s="116" t="str">
        <f>IF('Input-EWEMs'!$D25="", "",ROUND('Input-EWEMs'!N25,0))</f>
        <v/>
      </c>
      <c r="P15" s="116" t="str">
        <f>IF('Input-EWEMs'!$D25="", "",ROUND('Input-EWEMs'!O25,0))</f>
        <v/>
      </c>
      <c r="Q15" s="116" t="str">
        <f>IF('Input-EWEMs'!$D25="", "",ROUND('Input-EWEMs'!P25,0))</f>
        <v/>
      </c>
      <c r="R15" s="116" t="str">
        <f>IF('Input-EWEMs'!$D25="", "",ROUND('Input-EWEMs'!Q25,0))</f>
        <v/>
      </c>
      <c r="S15" s="116" t="str">
        <f>IF('Input-EWEMs'!$D25="", "",'Input-EWEMs'!V25)</f>
        <v/>
      </c>
      <c r="T15" s="116" t="str">
        <f>IF('Input-EWEMs'!$D25="", "",IFERROR(INDEX('Input-EWEMs'!$W25:$X25,MATCH("Natural Gas",'Input-EWEMs'!$W$10:$X$10,0)),0))</f>
        <v/>
      </c>
      <c r="U15" s="116" t="str">
        <f>IF('Input-EWEMs'!$D25="", "",IFERROR(INDEX('Input-EWEMs'!$W25:$X25,MATCH("Fuel Oil #2",'Input-EWEMs'!$W$10:$X$10,0)),0))</f>
        <v/>
      </c>
      <c r="V15" s="116" t="str">
        <f>IF('Input-EWEMs'!$D25="", "",IFERROR(INDEX('Input-EWEMs'!$W25:$X25,MATCH("Fuel Oil #4",'Input-EWEMs'!$W$10:$X$10,0)),0))</f>
        <v/>
      </c>
      <c r="W15" s="116" t="str">
        <f>IF('Input-EWEMs'!$D25="", "",IFERROR(INDEX('Input-EWEMs'!$W25:$X25,MATCH("Fuel Oil #6",'Input-EWEMs'!$W$10:$X$10,0)),0))</f>
        <v/>
      </c>
      <c r="X15" s="116" t="str">
        <f>IF('Input-EWEMs'!$D25="", "",IFERROR(INDEX('Input-EWEMs'!$W25:$X25,MATCH("District Steam",'Input-EWEMs'!$W$10:$X$10,0)),0))</f>
        <v/>
      </c>
      <c r="Y15" s="116" t="str">
        <f>IF('Input-EWEMs'!$D25="", "",IFERROR(INDEX('Input-EWEMs'!$W25:$X25,MATCH("Propane",'Input-EWEMs'!$W$10:$X$10,0)),0))</f>
        <v/>
      </c>
      <c r="Z15" s="116" t="str">
        <f>IF('Input-EWEMs'!$D25="", "",'Input-EWEMs'!Y25)</f>
        <v/>
      </c>
      <c r="AA15" s="116" t="str">
        <f>IF('Input-EWEMs'!$D25="", "",IFERROR(INDEX('Input-EWEMs'!$Z25:$AA25,MATCH("Natural Gas",'Input-EWEMs'!$Z$10:$AA$10,0)),0))</f>
        <v/>
      </c>
      <c r="AB15" s="116" t="str">
        <f>IF('Input-EWEMs'!$D25="", "",IFERROR(INDEX('Input-EWEMs'!$Z25:$AA25,MATCH("Fuel Oil #2",'Input-EWEMs'!$Z$10:$AA$10,0)),0))</f>
        <v/>
      </c>
      <c r="AC15" s="116" t="str">
        <f>IF('Input-EWEMs'!$D25="", "",IFERROR(INDEX('Input-EWEMs'!$Z25:$AA25,MATCH("Fuel Oil #4",'Input-EWEMs'!$Z$10:$AA$10,0)),0))</f>
        <v/>
      </c>
      <c r="AD15" s="116" t="str">
        <f>IF('Input-EWEMs'!$D25="", "",IFERROR(INDEX('Input-EWEMs'!$Z25:$AA25,MATCH("Fuel Oil #6",'Input-EWEMs'!$Z$10:$AA$10,0)),0))</f>
        <v/>
      </c>
      <c r="AE15" s="116" t="str">
        <f>IF('Input-EWEMs'!$D25="", "",IFERROR(INDEX('Input-EWEMs'!$Z25:$AA25,MATCH("District Steam",'Input-EWEMs'!$Z$10:$AA$10,0)),0))</f>
        <v/>
      </c>
      <c r="AF15" s="116" t="str">
        <f>IF('Input-EWEMs'!$D25="", "",IFERROR(INDEX('Input-EWEMs'!$Z25:$AA25,MATCH("Propane",'Input-EWEMs'!$Z$10:$AA$10,0)),0))</f>
        <v/>
      </c>
      <c r="AG15" s="116" t="str">
        <f>IF('Input-EWEMs'!$D25="", "",SUM(S15:Y15))</f>
        <v/>
      </c>
      <c r="AH15" s="116" t="str">
        <f>IF('Input-EWEMs'!$D25="", "",SUM(Z15:AF15))</f>
        <v/>
      </c>
      <c r="AI15" s="116" t="str">
        <f>IF('Input-EWEMs'!$D25="", "",'Input-EWEMs'!AD25)</f>
        <v/>
      </c>
      <c r="AJ15" s="3" t="str">
        <f>IF('Input-EWEMs'!$D25="", "",'Input-EWEMs'!AF25)</f>
        <v/>
      </c>
      <c r="AK15" s="3" t="str">
        <f>IF('Input-EWEMs'!$D25="", "",'Input-EWEMs'!AG25)</f>
        <v/>
      </c>
      <c r="AL15" s="116" t="str">
        <f>IF('Input-EWEMs'!$D25="", "",'Input-EWEMs'!AH25)</f>
        <v/>
      </c>
      <c r="AM15" s="116" t="str">
        <f t="shared" si="0"/>
        <v/>
      </c>
      <c r="AN15" s="116" t="str">
        <f>IF('Input-EWEMs'!$D25="", "",IFERROR('Input-EWEMs'!R25*INDEX(Assumptions!$H$6:$H$22,MATCH('Input-EWEMs'!R$11,Assumptions!$C$6:$C$22,0)),0)+IFERROR('Input-EWEMs'!S25*INDEX(Assumptions!$H$6:$H$22,MATCH('Input-EWEMs'!S$11,Assumptions!$C$6:$C$22,0)),0)+IFERROR('Input-EWEMs'!T25*INDEX(Assumptions!$H$6:$H$22,MATCH('Input-EWEMs'!T$11,Assumptions!$C$6:$C$22,0)),0))</f>
        <v/>
      </c>
    </row>
    <row r="16" spans="1:40">
      <c r="A16" s="3"/>
      <c r="B16" s="116" t="str">
        <f>IF('Input-EWEMs'!D26="","",IF(COUNTIF('Input-EWEMs'!C$52:C$61,'Input-EWEMs'!C26)&lt;1,'Lender Validation'!B55,"No"))</f>
        <v/>
      </c>
      <c r="C16" s="3" t="str">
        <f>IF('Input-EWEMs'!$D26="", "", 'Input-EWEMs'!C26)</f>
        <v/>
      </c>
      <c r="D16" s="3" t="str">
        <f>IF('Input-EWEMs'!$D26="", "", 'Input-EWEMs'!D26)</f>
        <v/>
      </c>
      <c r="E16" s="3" t="str">
        <f>IF('Input-EWEMs'!$D26="", "", IFERROR(INDEX('Reference-MeasureList'!$O$47:$O$50,MATCH('Input-EWEMs'!E26,'Reference-MeasureList'!$J$47:$J$50,0)),'Input-EWEMs'!E26))</f>
        <v/>
      </c>
      <c r="F16" s="3" t="str">
        <f>IF('Input-EWEMs'!$D26="", "", 'Input-EWEMs'!F26)</f>
        <v/>
      </c>
      <c r="G16" s="3" t="str">
        <f>IF('Input-EWEMs'!$D26="", "", 'Input-EWEMs'!G26)</f>
        <v/>
      </c>
      <c r="H16" s="3" t="str">
        <f>IF('Input-EWEMs'!$H26="", "", 'Input-EWEMs'!H26)</f>
        <v/>
      </c>
      <c r="I16" s="3" t="str">
        <f>IF('Input-EWEMs'!$I26="", "", 'Input-EWEMs'!I26)</f>
        <v/>
      </c>
      <c r="J16" s="3" t="str">
        <f>IF('Input-EWEMs'!$I26="", "", I16/'DB-Properties'!$K$2)</f>
        <v/>
      </c>
      <c r="K16" s="116" t="str">
        <f>IF('Input-EWEMs'!$D26="", "",ROUND('Input-EWEMs'!K26,0))</f>
        <v/>
      </c>
      <c r="L16" s="116" t="str">
        <f>IF('Input-EWEMs'!$D26="", "",SUM(O16,R16))</f>
        <v/>
      </c>
      <c r="M16" s="116" t="str">
        <f>IF('Input-EWEMs'!$D26="", "",ROUND('Input-EWEMs'!L26,0))</f>
        <v/>
      </c>
      <c r="N16" s="116" t="str">
        <f>IF('Input-EWEMs'!$D26="", "",ROUND('Input-EWEMs'!M26,0))</f>
        <v/>
      </c>
      <c r="O16" s="116" t="str">
        <f>IF('Input-EWEMs'!$D26="", "",ROUND('Input-EWEMs'!N26,0))</f>
        <v/>
      </c>
      <c r="P16" s="116" t="str">
        <f>IF('Input-EWEMs'!$D26="", "",ROUND('Input-EWEMs'!O26,0))</f>
        <v/>
      </c>
      <c r="Q16" s="116" t="str">
        <f>IF('Input-EWEMs'!$D26="", "",ROUND('Input-EWEMs'!P26,0))</f>
        <v/>
      </c>
      <c r="R16" s="116" t="str">
        <f>IF('Input-EWEMs'!$D26="", "",ROUND('Input-EWEMs'!Q26,0))</f>
        <v/>
      </c>
      <c r="S16" s="116" t="str">
        <f>IF('Input-EWEMs'!$D26="", "",'Input-EWEMs'!V26)</f>
        <v/>
      </c>
      <c r="T16" s="116" t="str">
        <f>IF('Input-EWEMs'!$D26="", "",IFERROR(INDEX('Input-EWEMs'!$W26:$X26,MATCH("Natural Gas",'Input-EWEMs'!$W$10:$X$10,0)),0))</f>
        <v/>
      </c>
      <c r="U16" s="116" t="str">
        <f>IF('Input-EWEMs'!$D26="", "",IFERROR(INDEX('Input-EWEMs'!$W26:$X26,MATCH("Fuel Oil #2",'Input-EWEMs'!$W$10:$X$10,0)),0))</f>
        <v/>
      </c>
      <c r="V16" s="116" t="str">
        <f>IF('Input-EWEMs'!$D26="", "",IFERROR(INDEX('Input-EWEMs'!$W26:$X26,MATCH("Fuel Oil #4",'Input-EWEMs'!$W$10:$X$10,0)),0))</f>
        <v/>
      </c>
      <c r="W16" s="116" t="str">
        <f>IF('Input-EWEMs'!$D26="", "",IFERROR(INDEX('Input-EWEMs'!$W26:$X26,MATCH("Fuel Oil #6",'Input-EWEMs'!$W$10:$X$10,0)),0))</f>
        <v/>
      </c>
      <c r="X16" s="116" t="str">
        <f>IF('Input-EWEMs'!$D26="", "",IFERROR(INDEX('Input-EWEMs'!$W26:$X26,MATCH("District Steam",'Input-EWEMs'!$W$10:$X$10,0)),0))</f>
        <v/>
      </c>
      <c r="Y16" s="116" t="str">
        <f>IF('Input-EWEMs'!$D26="", "",IFERROR(INDEX('Input-EWEMs'!$W26:$X26,MATCH("Propane",'Input-EWEMs'!$W$10:$X$10,0)),0))</f>
        <v/>
      </c>
      <c r="Z16" s="116" t="str">
        <f>IF('Input-EWEMs'!$D26="", "",'Input-EWEMs'!Y26)</f>
        <v/>
      </c>
      <c r="AA16" s="116" t="str">
        <f>IF('Input-EWEMs'!$D26="", "",IFERROR(INDEX('Input-EWEMs'!$Z26:$AA26,MATCH("Natural Gas",'Input-EWEMs'!$Z$10:$AA$10,0)),0))</f>
        <v/>
      </c>
      <c r="AB16" s="116" t="str">
        <f>IF('Input-EWEMs'!$D26="", "",IFERROR(INDEX('Input-EWEMs'!$Z26:$AA26,MATCH("Fuel Oil #2",'Input-EWEMs'!$Z$10:$AA$10,0)),0))</f>
        <v/>
      </c>
      <c r="AC16" s="116" t="str">
        <f>IF('Input-EWEMs'!$D26="", "",IFERROR(INDEX('Input-EWEMs'!$Z26:$AA26,MATCH("Fuel Oil #4",'Input-EWEMs'!$Z$10:$AA$10,0)),0))</f>
        <v/>
      </c>
      <c r="AD16" s="116" t="str">
        <f>IF('Input-EWEMs'!$D26="", "",IFERROR(INDEX('Input-EWEMs'!$Z26:$AA26,MATCH("Fuel Oil #6",'Input-EWEMs'!$Z$10:$AA$10,0)),0))</f>
        <v/>
      </c>
      <c r="AE16" s="116" t="str">
        <f>IF('Input-EWEMs'!$D26="", "",IFERROR(INDEX('Input-EWEMs'!$Z26:$AA26,MATCH("District Steam",'Input-EWEMs'!$Z$10:$AA$10,0)),0))</f>
        <v/>
      </c>
      <c r="AF16" s="116" t="str">
        <f>IF('Input-EWEMs'!$D26="", "",IFERROR(INDEX('Input-EWEMs'!$Z26:$AA26,MATCH("Propane",'Input-EWEMs'!$Z$10:$AA$10,0)),0))</f>
        <v/>
      </c>
      <c r="AG16" s="116" t="str">
        <f>IF('Input-EWEMs'!$D26="", "",SUM(S16:Y16))</f>
        <v/>
      </c>
      <c r="AH16" s="116" t="str">
        <f>IF('Input-EWEMs'!$D26="", "",SUM(Z16:AF16))</f>
        <v/>
      </c>
      <c r="AI16" s="116" t="str">
        <f>IF('Input-EWEMs'!$D26="", "",'Input-EWEMs'!AD26)</f>
        <v/>
      </c>
      <c r="AJ16" s="3" t="str">
        <f>IF('Input-EWEMs'!$D26="", "",'Input-EWEMs'!AF26)</f>
        <v/>
      </c>
      <c r="AK16" s="3" t="str">
        <f>IF('Input-EWEMs'!$D26="", "",'Input-EWEMs'!AG26)</f>
        <v/>
      </c>
      <c r="AL16" s="116" t="str">
        <f>IF('Input-EWEMs'!$D26="", "",'Input-EWEMs'!AH26)</f>
        <v/>
      </c>
      <c r="AM16" s="116" t="str">
        <f t="shared" si="0"/>
        <v/>
      </c>
      <c r="AN16" s="116" t="str">
        <f>IF('Input-EWEMs'!$D26="", "",IFERROR('Input-EWEMs'!R26*INDEX(Assumptions!$H$6:$H$22,MATCH('Input-EWEMs'!R$11,Assumptions!$C$6:$C$22,0)),0)+IFERROR('Input-EWEMs'!S26*INDEX(Assumptions!$H$6:$H$22,MATCH('Input-EWEMs'!S$11,Assumptions!$C$6:$C$22,0)),0)+IFERROR('Input-EWEMs'!T26*INDEX(Assumptions!$H$6:$H$22,MATCH('Input-EWEMs'!T$11,Assumptions!$C$6:$C$22,0)),0))</f>
        <v/>
      </c>
    </row>
    <row r="17" spans="1:40">
      <c r="A17" s="3"/>
      <c r="B17" s="116" t="str">
        <f>IF('Input-EWEMs'!D27="","",IF(COUNTIF('Input-EWEMs'!C$52:C$61,'Input-EWEMs'!C27)&lt;1,'Lender Validation'!B56,"No"))</f>
        <v/>
      </c>
      <c r="C17" s="3" t="str">
        <f>IF('Input-EWEMs'!$D27="", "", 'Input-EWEMs'!C27)</f>
        <v/>
      </c>
      <c r="D17" s="3" t="str">
        <f>IF('Input-EWEMs'!$D27="", "", 'Input-EWEMs'!D27)</f>
        <v/>
      </c>
      <c r="E17" s="3" t="str">
        <f>IF('Input-EWEMs'!$D27="", "", IFERROR(INDEX('Reference-MeasureList'!$O$47:$O$50,MATCH('Input-EWEMs'!E27,'Reference-MeasureList'!$J$47:$J$50,0)),'Input-EWEMs'!E27))</f>
        <v/>
      </c>
      <c r="F17" s="3" t="str">
        <f>IF('Input-EWEMs'!$D27="", "", 'Input-EWEMs'!F27)</f>
        <v/>
      </c>
      <c r="G17" s="3" t="str">
        <f>IF('Input-EWEMs'!$D27="", "", 'Input-EWEMs'!G27)</f>
        <v/>
      </c>
      <c r="H17" s="3" t="str">
        <f>IF('Input-EWEMs'!$H27="", "", 'Input-EWEMs'!H27)</f>
        <v/>
      </c>
      <c r="I17" s="3" t="str">
        <f>IF('Input-EWEMs'!$I27="", "", 'Input-EWEMs'!I27)</f>
        <v/>
      </c>
      <c r="J17" s="3" t="str">
        <f>IF('Input-EWEMs'!$I27="", "", I17/'DB-Properties'!$K$2)</f>
        <v/>
      </c>
      <c r="K17" s="116" t="str">
        <f>IF('Input-EWEMs'!$D27="", "",ROUND('Input-EWEMs'!K27,0))</f>
        <v/>
      </c>
      <c r="L17" s="116" t="str">
        <f>IF('Input-EWEMs'!$D27="", "",SUM(O17,R17))</f>
        <v/>
      </c>
      <c r="M17" s="116" t="str">
        <f>IF('Input-EWEMs'!$D27="", "",ROUND('Input-EWEMs'!L27,0))</f>
        <v/>
      </c>
      <c r="N17" s="116" t="str">
        <f>IF('Input-EWEMs'!$D27="", "",ROUND('Input-EWEMs'!M27,0))</f>
        <v/>
      </c>
      <c r="O17" s="116" t="str">
        <f>IF('Input-EWEMs'!$D27="", "",ROUND('Input-EWEMs'!N27,0))</f>
        <v/>
      </c>
      <c r="P17" s="116" t="str">
        <f>IF('Input-EWEMs'!$D27="", "",ROUND('Input-EWEMs'!O27,0))</f>
        <v/>
      </c>
      <c r="Q17" s="116" t="str">
        <f>IF('Input-EWEMs'!$D27="", "",ROUND('Input-EWEMs'!P27,0))</f>
        <v/>
      </c>
      <c r="R17" s="116" t="str">
        <f>IF('Input-EWEMs'!$D27="", "",ROUND('Input-EWEMs'!Q27,0))</f>
        <v/>
      </c>
      <c r="S17" s="116" t="str">
        <f>IF('Input-EWEMs'!$D27="", "",'Input-EWEMs'!V27)</f>
        <v/>
      </c>
      <c r="T17" s="116" t="str">
        <f>IF('Input-EWEMs'!$D27="", "",IFERROR(INDEX('Input-EWEMs'!$W27:$X27,MATCH("Natural Gas",'Input-EWEMs'!$W$10:$X$10,0)),0))</f>
        <v/>
      </c>
      <c r="U17" s="116" t="str">
        <f>IF('Input-EWEMs'!$D27="", "",IFERROR(INDEX('Input-EWEMs'!$W27:$X27,MATCH("Fuel Oil #2",'Input-EWEMs'!$W$10:$X$10,0)),0))</f>
        <v/>
      </c>
      <c r="V17" s="116" t="str">
        <f>IF('Input-EWEMs'!$D27="", "",IFERROR(INDEX('Input-EWEMs'!$W27:$X27,MATCH("Fuel Oil #4",'Input-EWEMs'!$W$10:$X$10,0)),0))</f>
        <v/>
      </c>
      <c r="W17" s="116" t="str">
        <f>IF('Input-EWEMs'!$D27="", "",IFERROR(INDEX('Input-EWEMs'!$W27:$X27,MATCH("Fuel Oil #6",'Input-EWEMs'!$W$10:$X$10,0)),0))</f>
        <v/>
      </c>
      <c r="X17" s="116" t="str">
        <f>IF('Input-EWEMs'!$D27="", "",IFERROR(INDEX('Input-EWEMs'!$W27:$X27,MATCH("District Steam",'Input-EWEMs'!$W$10:$X$10,0)),0))</f>
        <v/>
      </c>
      <c r="Y17" s="116" t="str">
        <f>IF('Input-EWEMs'!$D27="", "",IFERROR(INDEX('Input-EWEMs'!$W27:$X27,MATCH("Propane",'Input-EWEMs'!$W$10:$X$10,0)),0))</f>
        <v/>
      </c>
      <c r="Z17" s="116" t="str">
        <f>IF('Input-EWEMs'!$D27="", "",'Input-EWEMs'!Y27)</f>
        <v/>
      </c>
      <c r="AA17" s="116" t="str">
        <f>IF('Input-EWEMs'!$D27="", "",IFERROR(INDEX('Input-EWEMs'!$Z27:$AA27,MATCH("Natural Gas",'Input-EWEMs'!$Z$10:$AA$10,0)),0))</f>
        <v/>
      </c>
      <c r="AB17" s="116" t="str">
        <f>IF('Input-EWEMs'!$D27="", "",IFERROR(INDEX('Input-EWEMs'!$Z27:$AA27,MATCH("Fuel Oil #2",'Input-EWEMs'!$Z$10:$AA$10,0)),0))</f>
        <v/>
      </c>
      <c r="AC17" s="116" t="str">
        <f>IF('Input-EWEMs'!$D27="", "",IFERROR(INDEX('Input-EWEMs'!$Z27:$AA27,MATCH("Fuel Oil #4",'Input-EWEMs'!$Z$10:$AA$10,0)),0))</f>
        <v/>
      </c>
      <c r="AD17" s="116" t="str">
        <f>IF('Input-EWEMs'!$D27="", "",IFERROR(INDEX('Input-EWEMs'!$Z27:$AA27,MATCH("Fuel Oil #6",'Input-EWEMs'!$Z$10:$AA$10,0)),0))</f>
        <v/>
      </c>
      <c r="AE17" s="116" t="str">
        <f>IF('Input-EWEMs'!$D27="", "",IFERROR(INDEX('Input-EWEMs'!$Z27:$AA27,MATCH("District Steam",'Input-EWEMs'!$Z$10:$AA$10,0)),0))</f>
        <v/>
      </c>
      <c r="AF17" s="116" t="str">
        <f>IF('Input-EWEMs'!$D27="", "",IFERROR(INDEX('Input-EWEMs'!$Z27:$AA27,MATCH("Propane",'Input-EWEMs'!$Z$10:$AA$10,0)),0))</f>
        <v/>
      </c>
      <c r="AG17" s="116" t="str">
        <f>IF('Input-EWEMs'!$D27="", "",SUM(S17:Y17))</f>
        <v/>
      </c>
      <c r="AH17" s="116" t="str">
        <f>IF('Input-EWEMs'!$D27="", "",SUM(Z17:AF17))</f>
        <v/>
      </c>
      <c r="AI17" s="116" t="str">
        <f>IF('Input-EWEMs'!$D27="", "",'Input-EWEMs'!AD27)</f>
        <v/>
      </c>
      <c r="AJ17" s="3" t="str">
        <f>IF('Input-EWEMs'!$D27="", "",'Input-EWEMs'!AF27)</f>
        <v/>
      </c>
      <c r="AK17" s="3" t="str">
        <f>IF('Input-EWEMs'!$D27="", "",'Input-EWEMs'!AG27)</f>
        <v/>
      </c>
      <c r="AL17" s="116" t="str">
        <f>IF('Input-EWEMs'!$D27="", "",'Input-EWEMs'!AH27)</f>
        <v/>
      </c>
      <c r="AM17" s="116" t="str">
        <f t="shared" si="0"/>
        <v/>
      </c>
      <c r="AN17" s="116" t="str">
        <f>IF('Input-EWEMs'!$D27="", "",IFERROR('Input-EWEMs'!R27*INDEX(Assumptions!$H$6:$H$22,MATCH('Input-EWEMs'!R$11,Assumptions!$C$6:$C$22,0)),0)+IFERROR('Input-EWEMs'!S27*INDEX(Assumptions!$H$6:$H$22,MATCH('Input-EWEMs'!S$11,Assumptions!$C$6:$C$22,0)),0)+IFERROR('Input-EWEMs'!T27*INDEX(Assumptions!$H$6:$H$22,MATCH('Input-EWEMs'!T$11,Assumptions!$C$6:$C$22,0)),0))</f>
        <v/>
      </c>
    </row>
    <row r="18" spans="1:40">
      <c r="A18" s="3"/>
      <c r="B18" s="116" t="str">
        <f>IF('Input-EWEMs'!D28="","",IF(COUNTIF('Input-EWEMs'!C$52:C$61,'Input-EWEMs'!C28)&lt;1,'Lender Validation'!B57,"No"))</f>
        <v/>
      </c>
      <c r="C18" s="3" t="str">
        <f>IF('Input-EWEMs'!$D28="", "", 'Input-EWEMs'!C28)</f>
        <v/>
      </c>
      <c r="D18" s="3" t="str">
        <f>IF('Input-EWEMs'!$D28="", "", 'Input-EWEMs'!D28)</f>
        <v/>
      </c>
      <c r="E18" s="3" t="str">
        <f>IF('Input-EWEMs'!$D28="", "", IFERROR(INDEX('Reference-MeasureList'!$O$47:$O$50,MATCH('Input-EWEMs'!E28,'Reference-MeasureList'!$J$47:$J$50,0)),'Input-EWEMs'!E28))</f>
        <v/>
      </c>
      <c r="F18" s="3" t="str">
        <f>IF('Input-EWEMs'!$D28="", "", 'Input-EWEMs'!F28)</f>
        <v/>
      </c>
      <c r="G18" s="3" t="str">
        <f>IF('Input-EWEMs'!$D28="", "", 'Input-EWEMs'!G28)</f>
        <v/>
      </c>
      <c r="H18" s="3" t="str">
        <f>IF('Input-EWEMs'!$H28="", "", 'Input-EWEMs'!H28)</f>
        <v/>
      </c>
      <c r="I18" s="3" t="str">
        <f>IF('Input-EWEMs'!$I28="", "", 'Input-EWEMs'!I28)</f>
        <v/>
      </c>
      <c r="J18" s="3" t="str">
        <f>IF('Input-EWEMs'!$I28="", "", I18/'DB-Properties'!$K$2)</f>
        <v/>
      </c>
      <c r="K18" s="116" t="str">
        <f>IF('Input-EWEMs'!$D28="", "",ROUND('Input-EWEMs'!K28,0))</f>
        <v/>
      </c>
      <c r="L18" s="116" t="str">
        <f>IF('Input-EWEMs'!$D28="", "",SUM(O18,R18))</f>
        <v/>
      </c>
      <c r="M18" s="116" t="str">
        <f>IF('Input-EWEMs'!$D28="", "",ROUND('Input-EWEMs'!L28,0))</f>
        <v/>
      </c>
      <c r="N18" s="116" t="str">
        <f>IF('Input-EWEMs'!$D28="", "",ROUND('Input-EWEMs'!M28,0))</f>
        <v/>
      </c>
      <c r="O18" s="116" t="str">
        <f>IF('Input-EWEMs'!$D28="", "",ROUND('Input-EWEMs'!N28,0))</f>
        <v/>
      </c>
      <c r="P18" s="116" t="str">
        <f>IF('Input-EWEMs'!$D28="", "",ROUND('Input-EWEMs'!O28,0))</f>
        <v/>
      </c>
      <c r="Q18" s="116" t="str">
        <f>IF('Input-EWEMs'!$D28="", "",ROUND('Input-EWEMs'!P28,0))</f>
        <v/>
      </c>
      <c r="R18" s="116" t="str">
        <f>IF('Input-EWEMs'!$D28="", "",ROUND('Input-EWEMs'!Q28,0))</f>
        <v/>
      </c>
      <c r="S18" s="116" t="str">
        <f>IF('Input-EWEMs'!$D28="", "",'Input-EWEMs'!V28)</f>
        <v/>
      </c>
      <c r="T18" s="116" t="str">
        <f>IF('Input-EWEMs'!$D28="", "",IFERROR(INDEX('Input-EWEMs'!$W28:$X28,MATCH("Natural Gas",'Input-EWEMs'!$W$10:$X$10,0)),0))</f>
        <v/>
      </c>
      <c r="U18" s="116" t="str">
        <f>IF('Input-EWEMs'!$D28="", "",IFERROR(INDEX('Input-EWEMs'!$W28:$X28,MATCH("Fuel Oil #2",'Input-EWEMs'!$W$10:$X$10,0)),0))</f>
        <v/>
      </c>
      <c r="V18" s="116" t="str">
        <f>IF('Input-EWEMs'!$D28="", "",IFERROR(INDEX('Input-EWEMs'!$W28:$X28,MATCH("Fuel Oil #4",'Input-EWEMs'!$W$10:$X$10,0)),0))</f>
        <v/>
      </c>
      <c r="W18" s="116" t="str">
        <f>IF('Input-EWEMs'!$D28="", "",IFERROR(INDEX('Input-EWEMs'!$W28:$X28,MATCH("Fuel Oil #6",'Input-EWEMs'!$W$10:$X$10,0)),0))</f>
        <v/>
      </c>
      <c r="X18" s="116" t="str">
        <f>IF('Input-EWEMs'!$D28="", "",IFERROR(INDEX('Input-EWEMs'!$W28:$X28,MATCH("District Steam",'Input-EWEMs'!$W$10:$X$10,0)),0))</f>
        <v/>
      </c>
      <c r="Y18" s="116" t="str">
        <f>IF('Input-EWEMs'!$D28="", "",IFERROR(INDEX('Input-EWEMs'!$W28:$X28,MATCH("Propane",'Input-EWEMs'!$W$10:$X$10,0)),0))</f>
        <v/>
      </c>
      <c r="Z18" s="116" t="str">
        <f>IF('Input-EWEMs'!$D28="", "",'Input-EWEMs'!Y28)</f>
        <v/>
      </c>
      <c r="AA18" s="116" t="str">
        <f>IF('Input-EWEMs'!$D28="", "",IFERROR(INDEX('Input-EWEMs'!$Z28:$AA28,MATCH("Natural Gas",'Input-EWEMs'!$Z$10:$AA$10,0)),0))</f>
        <v/>
      </c>
      <c r="AB18" s="116" t="str">
        <f>IF('Input-EWEMs'!$D28="", "",IFERROR(INDEX('Input-EWEMs'!$Z28:$AA28,MATCH("Fuel Oil #2",'Input-EWEMs'!$Z$10:$AA$10,0)),0))</f>
        <v/>
      </c>
      <c r="AC18" s="116" t="str">
        <f>IF('Input-EWEMs'!$D28="", "",IFERROR(INDEX('Input-EWEMs'!$Z28:$AA28,MATCH("Fuel Oil #4",'Input-EWEMs'!$Z$10:$AA$10,0)),0))</f>
        <v/>
      </c>
      <c r="AD18" s="116" t="str">
        <f>IF('Input-EWEMs'!$D28="", "",IFERROR(INDEX('Input-EWEMs'!$Z28:$AA28,MATCH("Fuel Oil #6",'Input-EWEMs'!$Z$10:$AA$10,0)),0))</f>
        <v/>
      </c>
      <c r="AE18" s="116" t="str">
        <f>IF('Input-EWEMs'!$D28="", "",IFERROR(INDEX('Input-EWEMs'!$Z28:$AA28,MATCH("District Steam",'Input-EWEMs'!$Z$10:$AA$10,0)),0))</f>
        <v/>
      </c>
      <c r="AF18" s="116" t="str">
        <f>IF('Input-EWEMs'!$D28="", "",IFERROR(INDEX('Input-EWEMs'!$Z28:$AA28,MATCH("Propane",'Input-EWEMs'!$Z$10:$AA$10,0)),0))</f>
        <v/>
      </c>
      <c r="AG18" s="116" t="str">
        <f>IF('Input-EWEMs'!$D28="", "",SUM(S18:Y18))</f>
        <v/>
      </c>
      <c r="AH18" s="116" t="str">
        <f>IF('Input-EWEMs'!$D28="", "",SUM(Z18:AF18))</f>
        <v/>
      </c>
      <c r="AI18" s="116" t="str">
        <f>IF('Input-EWEMs'!$D28="", "",'Input-EWEMs'!AD28)</f>
        <v/>
      </c>
      <c r="AJ18" s="3" t="str">
        <f>IF('Input-EWEMs'!$D28="", "",'Input-EWEMs'!AF28)</f>
        <v/>
      </c>
      <c r="AK18" s="3" t="str">
        <f>IF('Input-EWEMs'!$D28="", "",'Input-EWEMs'!AG28)</f>
        <v/>
      </c>
      <c r="AL18" s="116" t="str">
        <f>IF('Input-EWEMs'!$D28="", "",'Input-EWEMs'!AH28)</f>
        <v/>
      </c>
      <c r="AM18" s="116" t="str">
        <f t="shared" si="0"/>
        <v/>
      </c>
      <c r="AN18" s="116" t="str">
        <f>IF('Input-EWEMs'!$D28="", "",IFERROR('Input-EWEMs'!R28*INDEX(Assumptions!$H$6:$H$22,MATCH('Input-EWEMs'!R$11,Assumptions!$C$6:$C$22,0)),0)+IFERROR('Input-EWEMs'!S28*INDEX(Assumptions!$H$6:$H$22,MATCH('Input-EWEMs'!S$11,Assumptions!$C$6:$C$22,0)),0)+IFERROR('Input-EWEMs'!T28*INDEX(Assumptions!$H$6:$H$22,MATCH('Input-EWEMs'!T$11,Assumptions!$C$6:$C$22,0)),0))</f>
        <v/>
      </c>
    </row>
    <row r="19" spans="1:40">
      <c r="A19" s="3"/>
      <c r="B19" s="116" t="str">
        <f>IF('Input-EWEMs'!D29="","",IF(COUNTIF('Input-EWEMs'!C$52:C$61,'Input-EWEMs'!C29)&lt;1,'Lender Validation'!B58,"No"))</f>
        <v/>
      </c>
      <c r="C19" s="3" t="str">
        <f>IF('Input-EWEMs'!$D29="", "", 'Input-EWEMs'!C29)</f>
        <v/>
      </c>
      <c r="D19" s="3" t="str">
        <f>IF('Input-EWEMs'!$D29="", "", 'Input-EWEMs'!D29)</f>
        <v/>
      </c>
      <c r="E19" s="3" t="str">
        <f>IF('Input-EWEMs'!$D29="", "", IFERROR(INDEX('Reference-MeasureList'!$O$47:$O$50,MATCH('Input-EWEMs'!E29,'Reference-MeasureList'!$J$47:$J$50,0)),'Input-EWEMs'!E29))</f>
        <v/>
      </c>
      <c r="F19" s="3" t="str">
        <f>IF('Input-EWEMs'!$D29="", "", 'Input-EWEMs'!F29)</f>
        <v/>
      </c>
      <c r="G19" s="3" t="str">
        <f>IF('Input-EWEMs'!$D29="", "", 'Input-EWEMs'!G29)</f>
        <v/>
      </c>
      <c r="H19" s="3" t="str">
        <f>IF('Input-EWEMs'!$H29="", "", 'Input-EWEMs'!H29)</f>
        <v/>
      </c>
      <c r="I19" s="3" t="str">
        <f>IF('Input-EWEMs'!$I29="", "", 'Input-EWEMs'!I29)</f>
        <v/>
      </c>
      <c r="J19" s="3" t="str">
        <f>IF('Input-EWEMs'!$I29="", "", I19/'DB-Properties'!$K$2)</f>
        <v/>
      </c>
      <c r="K19" s="116" t="str">
        <f>IF('Input-EWEMs'!$D29="", "",ROUND('Input-EWEMs'!K29,0))</f>
        <v/>
      </c>
      <c r="L19" s="116" t="str">
        <f>IF('Input-EWEMs'!$D29="", "",SUM(O19,R19))</f>
        <v/>
      </c>
      <c r="M19" s="116" t="str">
        <f>IF('Input-EWEMs'!$D29="", "",ROUND('Input-EWEMs'!L29,0))</f>
        <v/>
      </c>
      <c r="N19" s="116" t="str">
        <f>IF('Input-EWEMs'!$D29="", "",ROUND('Input-EWEMs'!M29,0))</f>
        <v/>
      </c>
      <c r="O19" s="116" t="str">
        <f>IF('Input-EWEMs'!$D29="", "",ROUND('Input-EWEMs'!N29,0))</f>
        <v/>
      </c>
      <c r="P19" s="116" t="str">
        <f>IF('Input-EWEMs'!$D29="", "",ROUND('Input-EWEMs'!O29,0))</f>
        <v/>
      </c>
      <c r="Q19" s="116" t="str">
        <f>IF('Input-EWEMs'!$D29="", "",ROUND('Input-EWEMs'!P29,0))</f>
        <v/>
      </c>
      <c r="R19" s="116" t="str">
        <f>IF('Input-EWEMs'!$D29="", "",ROUND('Input-EWEMs'!Q29,0))</f>
        <v/>
      </c>
      <c r="S19" s="116" t="str">
        <f>IF('Input-EWEMs'!$D29="", "",'Input-EWEMs'!V29)</f>
        <v/>
      </c>
      <c r="T19" s="116" t="str">
        <f>IF('Input-EWEMs'!$D29="", "",IFERROR(INDEX('Input-EWEMs'!$W29:$X29,MATCH("Natural Gas",'Input-EWEMs'!$W$10:$X$10,0)),0))</f>
        <v/>
      </c>
      <c r="U19" s="116" t="str">
        <f>IF('Input-EWEMs'!$D29="", "",IFERROR(INDEX('Input-EWEMs'!$W29:$X29,MATCH("Fuel Oil #2",'Input-EWEMs'!$W$10:$X$10,0)),0))</f>
        <v/>
      </c>
      <c r="V19" s="116" t="str">
        <f>IF('Input-EWEMs'!$D29="", "",IFERROR(INDEX('Input-EWEMs'!$W29:$X29,MATCH("Fuel Oil #4",'Input-EWEMs'!$W$10:$X$10,0)),0))</f>
        <v/>
      </c>
      <c r="W19" s="116" t="str">
        <f>IF('Input-EWEMs'!$D29="", "",IFERROR(INDEX('Input-EWEMs'!$W29:$X29,MATCH("Fuel Oil #6",'Input-EWEMs'!$W$10:$X$10,0)),0))</f>
        <v/>
      </c>
      <c r="X19" s="116" t="str">
        <f>IF('Input-EWEMs'!$D29="", "",IFERROR(INDEX('Input-EWEMs'!$W29:$X29,MATCH("District Steam",'Input-EWEMs'!$W$10:$X$10,0)),0))</f>
        <v/>
      </c>
      <c r="Y19" s="116" t="str">
        <f>IF('Input-EWEMs'!$D29="", "",IFERROR(INDEX('Input-EWEMs'!$W29:$X29,MATCH("Propane",'Input-EWEMs'!$W$10:$X$10,0)),0))</f>
        <v/>
      </c>
      <c r="Z19" s="116" t="str">
        <f>IF('Input-EWEMs'!$D29="", "",'Input-EWEMs'!Y29)</f>
        <v/>
      </c>
      <c r="AA19" s="116" t="str">
        <f>IF('Input-EWEMs'!$D29="", "",IFERROR(INDEX('Input-EWEMs'!$Z29:$AA29,MATCH("Natural Gas",'Input-EWEMs'!$Z$10:$AA$10,0)),0))</f>
        <v/>
      </c>
      <c r="AB19" s="116" t="str">
        <f>IF('Input-EWEMs'!$D29="", "",IFERROR(INDEX('Input-EWEMs'!$Z29:$AA29,MATCH("Fuel Oil #2",'Input-EWEMs'!$Z$10:$AA$10,0)),0))</f>
        <v/>
      </c>
      <c r="AC19" s="116" t="str">
        <f>IF('Input-EWEMs'!$D29="", "",IFERROR(INDEX('Input-EWEMs'!$Z29:$AA29,MATCH("Fuel Oil #4",'Input-EWEMs'!$Z$10:$AA$10,0)),0))</f>
        <v/>
      </c>
      <c r="AD19" s="116" t="str">
        <f>IF('Input-EWEMs'!$D29="", "",IFERROR(INDEX('Input-EWEMs'!$Z29:$AA29,MATCH("Fuel Oil #6",'Input-EWEMs'!$Z$10:$AA$10,0)),0))</f>
        <v/>
      </c>
      <c r="AE19" s="116" t="str">
        <f>IF('Input-EWEMs'!$D29="", "",IFERROR(INDEX('Input-EWEMs'!$Z29:$AA29,MATCH("District Steam",'Input-EWEMs'!$Z$10:$AA$10,0)),0))</f>
        <v/>
      </c>
      <c r="AF19" s="116" t="str">
        <f>IF('Input-EWEMs'!$D29="", "",IFERROR(INDEX('Input-EWEMs'!$Z29:$AA29,MATCH("Propane",'Input-EWEMs'!$Z$10:$AA$10,0)),0))</f>
        <v/>
      </c>
      <c r="AG19" s="116" t="str">
        <f>IF('Input-EWEMs'!$D29="", "",SUM(S19:Y19))</f>
        <v/>
      </c>
      <c r="AH19" s="116" t="str">
        <f>IF('Input-EWEMs'!$D29="", "",SUM(Z19:AF19))</f>
        <v/>
      </c>
      <c r="AI19" s="116" t="str">
        <f>IF('Input-EWEMs'!$D29="", "",'Input-EWEMs'!AD29)</f>
        <v/>
      </c>
      <c r="AJ19" s="3" t="str">
        <f>IF('Input-EWEMs'!$D29="", "",'Input-EWEMs'!AF29)</f>
        <v/>
      </c>
      <c r="AK19" s="3" t="str">
        <f>IF('Input-EWEMs'!$D29="", "",'Input-EWEMs'!AG29)</f>
        <v/>
      </c>
      <c r="AL19" s="116" t="str">
        <f>IF('Input-EWEMs'!$D29="", "",'Input-EWEMs'!AH29)</f>
        <v/>
      </c>
      <c r="AM19" s="116" t="str">
        <f t="shared" si="0"/>
        <v/>
      </c>
      <c r="AN19" s="116" t="str">
        <f>IF('Input-EWEMs'!$D29="", "",IFERROR('Input-EWEMs'!R29*INDEX(Assumptions!$H$6:$H$22,MATCH('Input-EWEMs'!R$11,Assumptions!$C$6:$C$22,0)),0)+IFERROR('Input-EWEMs'!S29*INDEX(Assumptions!$H$6:$H$22,MATCH('Input-EWEMs'!S$11,Assumptions!$C$6:$C$22,0)),0)+IFERROR('Input-EWEMs'!T29*INDEX(Assumptions!$H$6:$H$22,MATCH('Input-EWEMs'!T$11,Assumptions!$C$6:$C$22,0)),0))</f>
        <v/>
      </c>
    </row>
    <row r="20" spans="1:40">
      <c r="A20" s="3"/>
      <c r="B20" s="116" t="str">
        <f>IF('Input-EWEMs'!D30="","",IF(COUNTIF('Input-EWEMs'!C$52:C$61,'Input-EWEMs'!C30)&lt;1,'Lender Validation'!B59,"No"))</f>
        <v/>
      </c>
      <c r="C20" s="3" t="str">
        <f>IF('Input-EWEMs'!$D30="", "", 'Input-EWEMs'!C30)</f>
        <v/>
      </c>
      <c r="D20" s="3" t="str">
        <f>IF('Input-EWEMs'!$D30="", "", 'Input-EWEMs'!D30)</f>
        <v/>
      </c>
      <c r="E20" s="3" t="str">
        <f>IF('Input-EWEMs'!$D30="", "", IFERROR(INDEX('Reference-MeasureList'!$O$47:$O$50,MATCH('Input-EWEMs'!E30,'Reference-MeasureList'!$J$47:$J$50,0)),'Input-EWEMs'!E30))</f>
        <v/>
      </c>
      <c r="F20" s="3" t="str">
        <f>IF('Input-EWEMs'!$D30="", "", 'Input-EWEMs'!F30)</f>
        <v/>
      </c>
      <c r="G20" s="3" t="str">
        <f>IF('Input-EWEMs'!$D30="", "", 'Input-EWEMs'!G30)</f>
        <v/>
      </c>
      <c r="H20" s="3" t="str">
        <f>IF('Input-EWEMs'!$H30="", "", 'Input-EWEMs'!H30)</f>
        <v/>
      </c>
      <c r="I20" s="3" t="str">
        <f>IF('Input-EWEMs'!$I30="", "", 'Input-EWEMs'!I30)</f>
        <v/>
      </c>
      <c r="J20" s="3" t="str">
        <f>IF('Input-EWEMs'!$I30="", "", I20/'DB-Properties'!$K$2)</f>
        <v/>
      </c>
      <c r="K20" s="116" t="str">
        <f>IF('Input-EWEMs'!$D30="", "",ROUND('Input-EWEMs'!K30,0))</f>
        <v/>
      </c>
      <c r="L20" s="116" t="str">
        <f>IF('Input-EWEMs'!$D30="", "",SUM(O20,R20))</f>
        <v/>
      </c>
      <c r="M20" s="116" t="str">
        <f>IF('Input-EWEMs'!$D30="", "",ROUND('Input-EWEMs'!L30,0))</f>
        <v/>
      </c>
      <c r="N20" s="116" t="str">
        <f>IF('Input-EWEMs'!$D30="", "",ROUND('Input-EWEMs'!M30,0))</f>
        <v/>
      </c>
      <c r="O20" s="116" t="str">
        <f>IF('Input-EWEMs'!$D30="", "",ROUND('Input-EWEMs'!N30,0))</f>
        <v/>
      </c>
      <c r="P20" s="116" t="str">
        <f>IF('Input-EWEMs'!$D30="", "",ROUND('Input-EWEMs'!O30,0))</f>
        <v/>
      </c>
      <c r="Q20" s="116" t="str">
        <f>IF('Input-EWEMs'!$D30="", "",ROUND('Input-EWEMs'!P30,0))</f>
        <v/>
      </c>
      <c r="R20" s="116" t="str">
        <f>IF('Input-EWEMs'!$D30="", "",ROUND('Input-EWEMs'!Q30,0))</f>
        <v/>
      </c>
      <c r="S20" s="116" t="str">
        <f>IF('Input-EWEMs'!$D30="", "",'Input-EWEMs'!V30)</f>
        <v/>
      </c>
      <c r="T20" s="116" t="str">
        <f>IF('Input-EWEMs'!$D30="", "",IFERROR(INDEX('Input-EWEMs'!$W30:$X30,MATCH("Natural Gas",'Input-EWEMs'!$W$10:$X$10,0)),0))</f>
        <v/>
      </c>
      <c r="U20" s="116" t="str">
        <f>IF('Input-EWEMs'!$D30="", "",IFERROR(INDEX('Input-EWEMs'!$W30:$X30,MATCH("Fuel Oil #2",'Input-EWEMs'!$W$10:$X$10,0)),0))</f>
        <v/>
      </c>
      <c r="V20" s="116" t="str">
        <f>IF('Input-EWEMs'!$D30="", "",IFERROR(INDEX('Input-EWEMs'!$W30:$X30,MATCH("Fuel Oil #4",'Input-EWEMs'!$W$10:$X$10,0)),0))</f>
        <v/>
      </c>
      <c r="W20" s="116" t="str">
        <f>IF('Input-EWEMs'!$D30="", "",IFERROR(INDEX('Input-EWEMs'!$W30:$X30,MATCH("Fuel Oil #6",'Input-EWEMs'!$W$10:$X$10,0)),0))</f>
        <v/>
      </c>
      <c r="X20" s="116" t="str">
        <f>IF('Input-EWEMs'!$D30="", "",IFERROR(INDEX('Input-EWEMs'!$W30:$X30,MATCH("District Steam",'Input-EWEMs'!$W$10:$X$10,0)),0))</f>
        <v/>
      </c>
      <c r="Y20" s="116" t="str">
        <f>IF('Input-EWEMs'!$D30="", "",IFERROR(INDEX('Input-EWEMs'!$W30:$X30,MATCH("Propane",'Input-EWEMs'!$W$10:$X$10,0)),0))</f>
        <v/>
      </c>
      <c r="Z20" s="116" t="str">
        <f>IF('Input-EWEMs'!$D30="", "",'Input-EWEMs'!Y30)</f>
        <v/>
      </c>
      <c r="AA20" s="116" t="str">
        <f>IF('Input-EWEMs'!$D30="", "",IFERROR(INDEX('Input-EWEMs'!$Z30:$AA30,MATCH("Natural Gas",'Input-EWEMs'!$Z$10:$AA$10,0)),0))</f>
        <v/>
      </c>
      <c r="AB20" s="116" t="str">
        <f>IF('Input-EWEMs'!$D30="", "",IFERROR(INDEX('Input-EWEMs'!$Z30:$AA30,MATCH("Fuel Oil #2",'Input-EWEMs'!$Z$10:$AA$10,0)),0))</f>
        <v/>
      </c>
      <c r="AC20" s="116" t="str">
        <f>IF('Input-EWEMs'!$D30="", "",IFERROR(INDEX('Input-EWEMs'!$Z30:$AA30,MATCH("Fuel Oil #4",'Input-EWEMs'!$Z$10:$AA$10,0)),0))</f>
        <v/>
      </c>
      <c r="AD20" s="116" t="str">
        <f>IF('Input-EWEMs'!$D30="", "",IFERROR(INDEX('Input-EWEMs'!$Z30:$AA30,MATCH("Fuel Oil #6",'Input-EWEMs'!$Z$10:$AA$10,0)),0))</f>
        <v/>
      </c>
      <c r="AE20" s="116" t="str">
        <f>IF('Input-EWEMs'!$D30="", "",IFERROR(INDEX('Input-EWEMs'!$Z30:$AA30,MATCH("District Steam",'Input-EWEMs'!$Z$10:$AA$10,0)),0))</f>
        <v/>
      </c>
      <c r="AF20" s="116" t="str">
        <f>IF('Input-EWEMs'!$D30="", "",IFERROR(INDEX('Input-EWEMs'!$Z30:$AA30,MATCH("Propane",'Input-EWEMs'!$Z$10:$AA$10,0)),0))</f>
        <v/>
      </c>
      <c r="AG20" s="116" t="str">
        <f>IF('Input-EWEMs'!$D30="", "",SUM(S20:Y20))</f>
        <v/>
      </c>
      <c r="AH20" s="116" t="str">
        <f>IF('Input-EWEMs'!$D30="", "",SUM(Z20:AF20))</f>
        <v/>
      </c>
      <c r="AI20" s="116" t="str">
        <f>IF('Input-EWEMs'!$D30="", "",'Input-EWEMs'!AD30)</f>
        <v/>
      </c>
      <c r="AJ20" s="3" t="str">
        <f>IF('Input-EWEMs'!$D30="", "",'Input-EWEMs'!AF30)</f>
        <v/>
      </c>
      <c r="AK20" s="3" t="str">
        <f>IF('Input-EWEMs'!$D30="", "",'Input-EWEMs'!AG30)</f>
        <v/>
      </c>
      <c r="AL20" s="116" t="str">
        <f>IF('Input-EWEMs'!$D30="", "",'Input-EWEMs'!AH30)</f>
        <v/>
      </c>
      <c r="AM20" s="116" t="str">
        <f t="shared" si="0"/>
        <v/>
      </c>
      <c r="AN20" s="116" t="str">
        <f>IF('Input-EWEMs'!$D30="", "",IFERROR('Input-EWEMs'!R30*INDEX(Assumptions!$H$6:$H$22,MATCH('Input-EWEMs'!R$11,Assumptions!$C$6:$C$22,0)),0)+IFERROR('Input-EWEMs'!S30*INDEX(Assumptions!$H$6:$H$22,MATCH('Input-EWEMs'!S$11,Assumptions!$C$6:$C$22,0)),0)+IFERROR('Input-EWEMs'!T30*INDEX(Assumptions!$H$6:$H$22,MATCH('Input-EWEMs'!T$11,Assumptions!$C$6:$C$22,0)),0))</f>
        <v/>
      </c>
    </row>
    <row r="21" spans="1:40">
      <c r="A21" s="3"/>
      <c r="B21" s="116" t="str">
        <f>IF('Input-EWEMs'!D31="","",IF(COUNTIF('Input-EWEMs'!C$52:C$61,'Input-EWEMs'!C31)&lt;1,'Lender Validation'!B60,"No"))</f>
        <v/>
      </c>
      <c r="C21" s="3" t="str">
        <f>IF('Input-EWEMs'!$D31="", "", 'Input-EWEMs'!C31)</f>
        <v/>
      </c>
      <c r="D21" s="3" t="str">
        <f>IF('Input-EWEMs'!$D31="", "", 'Input-EWEMs'!D31)</f>
        <v/>
      </c>
      <c r="E21" s="3" t="str">
        <f>IF('Input-EWEMs'!$D31="", "", IFERROR(INDEX('Reference-MeasureList'!$O$47:$O$50,MATCH('Input-EWEMs'!E31,'Reference-MeasureList'!$J$47:$J$50,0)),'Input-EWEMs'!E31))</f>
        <v/>
      </c>
      <c r="F21" s="3" t="str">
        <f>IF('Input-EWEMs'!$D31="", "", 'Input-EWEMs'!F31)</f>
        <v/>
      </c>
      <c r="G21" s="3" t="str">
        <f>IF('Input-EWEMs'!$D31="", "", 'Input-EWEMs'!G31)</f>
        <v/>
      </c>
      <c r="H21" s="3" t="str">
        <f>IF('Input-EWEMs'!$H31="", "", 'Input-EWEMs'!H31)</f>
        <v/>
      </c>
      <c r="I21" s="3" t="str">
        <f>IF('Input-EWEMs'!$I31="", "", 'Input-EWEMs'!I31)</f>
        <v/>
      </c>
      <c r="J21" s="3" t="str">
        <f>IF('Input-EWEMs'!$I31="", "", I21/'DB-Properties'!$K$2)</f>
        <v/>
      </c>
      <c r="K21" s="116" t="str">
        <f>IF('Input-EWEMs'!$D31="", "",ROUND('Input-EWEMs'!K31,0))</f>
        <v/>
      </c>
      <c r="L21" s="116" t="str">
        <f>IF('Input-EWEMs'!$D31="", "",SUM(O21,R21))</f>
        <v/>
      </c>
      <c r="M21" s="116" t="str">
        <f>IF('Input-EWEMs'!$D31="", "",ROUND('Input-EWEMs'!L31,0))</f>
        <v/>
      </c>
      <c r="N21" s="116" t="str">
        <f>IF('Input-EWEMs'!$D31="", "",ROUND('Input-EWEMs'!M31,0))</f>
        <v/>
      </c>
      <c r="O21" s="116" t="str">
        <f>IF('Input-EWEMs'!$D31="", "",ROUND('Input-EWEMs'!N31,0))</f>
        <v/>
      </c>
      <c r="P21" s="116" t="str">
        <f>IF('Input-EWEMs'!$D31="", "",ROUND('Input-EWEMs'!O31,0))</f>
        <v/>
      </c>
      <c r="Q21" s="116" t="str">
        <f>IF('Input-EWEMs'!$D31="", "",ROUND('Input-EWEMs'!P31,0))</f>
        <v/>
      </c>
      <c r="R21" s="116" t="str">
        <f>IF('Input-EWEMs'!$D31="", "",ROUND('Input-EWEMs'!Q31,0))</f>
        <v/>
      </c>
      <c r="S21" s="116" t="str">
        <f>IF('Input-EWEMs'!$D31="", "",'Input-EWEMs'!V31)</f>
        <v/>
      </c>
      <c r="T21" s="116" t="str">
        <f>IF('Input-EWEMs'!$D31="", "",IFERROR(INDEX('Input-EWEMs'!$W31:$X31,MATCH("Natural Gas",'Input-EWEMs'!$W$10:$X$10,0)),0))</f>
        <v/>
      </c>
      <c r="U21" s="116" t="str">
        <f>IF('Input-EWEMs'!$D31="", "",IFERROR(INDEX('Input-EWEMs'!$W31:$X31,MATCH("Fuel Oil #2",'Input-EWEMs'!$W$10:$X$10,0)),0))</f>
        <v/>
      </c>
      <c r="V21" s="116" t="str">
        <f>IF('Input-EWEMs'!$D31="", "",IFERROR(INDEX('Input-EWEMs'!$W31:$X31,MATCH("Fuel Oil #4",'Input-EWEMs'!$W$10:$X$10,0)),0))</f>
        <v/>
      </c>
      <c r="W21" s="116" t="str">
        <f>IF('Input-EWEMs'!$D31="", "",IFERROR(INDEX('Input-EWEMs'!$W31:$X31,MATCH("Fuel Oil #6",'Input-EWEMs'!$W$10:$X$10,0)),0))</f>
        <v/>
      </c>
      <c r="X21" s="116" t="str">
        <f>IF('Input-EWEMs'!$D31="", "",IFERROR(INDEX('Input-EWEMs'!$W31:$X31,MATCH("District Steam",'Input-EWEMs'!$W$10:$X$10,0)),0))</f>
        <v/>
      </c>
      <c r="Y21" s="116" t="str">
        <f>IF('Input-EWEMs'!$D31="", "",IFERROR(INDEX('Input-EWEMs'!$W31:$X31,MATCH("Propane",'Input-EWEMs'!$W$10:$X$10,0)),0))</f>
        <v/>
      </c>
      <c r="Z21" s="116" t="str">
        <f>IF('Input-EWEMs'!$D31="", "",'Input-EWEMs'!Y31)</f>
        <v/>
      </c>
      <c r="AA21" s="116" t="str">
        <f>IF('Input-EWEMs'!$D31="", "",IFERROR(INDEX('Input-EWEMs'!$Z31:$AA31,MATCH("Natural Gas",'Input-EWEMs'!$Z$10:$AA$10,0)),0))</f>
        <v/>
      </c>
      <c r="AB21" s="116" t="str">
        <f>IF('Input-EWEMs'!$D31="", "",IFERROR(INDEX('Input-EWEMs'!$Z31:$AA31,MATCH("Fuel Oil #2",'Input-EWEMs'!$Z$10:$AA$10,0)),0))</f>
        <v/>
      </c>
      <c r="AC21" s="116" t="str">
        <f>IF('Input-EWEMs'!$D31="", "",IFERROR(INDEX('Input-EWEMs'!$Z31:$AA31,MATCH("Fuel Oil #4",'Input-EWEMs'!$Z$10:$AA$10,0)),0))</f>
        <v/>
      </c>
      <c r="AD21" s="116" t="str">
        <f>IF('Input-EWEMs'!$D31="", "",IFERROR(INDEX('Input-EWEMs'!$Z31:$AA31,MATCH("Fuel Oil #6",'Input-EWEMs'!$Z$10:$AA$10,0)),0))</f>
        <v/>
      </c>
      <c r="AE21" s="116" t="str">
        <f>IF('Input-EWEMs'!$D31="", "",IFERROR(INDEX('Input-EWEMs'!$Z31:$AA31,MATCH("District Steam",'Input-EWEMs'!$Z$10:$AA$10,0)),0))</f>
        <v/>
      </c>
      <c r="AF21" s="116" t="str">
        <f>IF('Input-EWEMs'!$D31="", "",IFERROR(INDEX('Input-EWEMs'!$Z31:$AA31,MATCH("Propane",'Input-EWEMs'!$Z$10:$AA$10,0)),0))</f>
        <v/>
      </c>
      <c r="AG21" s="116" t="str">
        <f>IF('Input-EWEMs'!$D31="", "",SUM(S21:Y21))</f>
        <v/>
      </c>
      <c r="AH21" s="116" t="str">
        <f>IF('Input-EWEMs'!$D31="", "",SUM(Z21:AF21))</f>
        <v/>
      </c>
      <c r="AI21" s="116" t="str">
        <f>IF('Input-EWEMs'!$D31="", "",'Input-EWEMs'!AD31)</f>
        <v/>
      </c>
      <c r="AJ21" s="3" t="str">
        <f>IF('Input-EWEMs'!$D31="", "",'Input-EWEMs'!AF31)</f>
        <v/>
      </c>
      <c r="AK21" s="3" t="str">
        <f>IF('Input-EWEMs'!$D31="", "",'Input-EWEMs'!AG31)</f>
        <v/>
      </c>
      <c r="AL21" s="116" t="str">
        <f>IF('Input-EWEMs'!$D31="", "",'Input-EWEMs'!AH31)</f>
        <v/>
      </c>
      <c r="AM21" s="116" t="str">
        <f t="shared" si="0"/>
        <v/>
      </c>
      <c r="AN21" s="116" t="str">
        <f>IF('Input-EWEMs'!$D31="", "",IFERROR('Input-EWEMs'!R31*INDEX(Assumptions!$H$6:$H$22,MATCH('Input-EWEMs'!R$11,Assumptions!$C$6:$C$22,0)),0)+IFERROR('Input-EWEMs'!S31*INDEX(Assumptions!$H$6:$H$22,MATCH('Input-EWEMs'!S$11,Assumptions!$C$6:$C$22,0)),0)+IFERROR('Input-EWEMs'!T31*INDEX(Assumptions!$H$6:$H$22,MATCH('Input-EWEMs'!T$11,Assumptions!$C$6:$C$22,0)),0))</f>
        <v/>
      </c>
    </row>
    <row r="22" spans="1:40">
      <c r="A22" s="3"/>
      <c r="B22" s="116" t="str">
        <f>IF('Input-EWEMs'!D32="","",IF(COUNTIF('Input-EWEMs'!C$52:C$61,'Input-EWEMs'!C32)&lt;1,'Lender Validation'!B61,"No"))</f>
        <v/>
      </c>
      <c r="C22" s="3" t="str">
        <f>IF('Input-EWEMs'!$D32="", "", 'Input-EWEMs'!C32)</f>
        <v/>
      </c>
      <c r="D22" s="3" t="str">
        <f>IF('Input-EWEMs'!$D32="", "", 'Input-EWEMs'!D32)</f>
        <v/>
      </c>
      <c r="E22" s="3" t="str">
        <f>IF('Input-EWEMs'!$D32="", "", IFERROR(INDEX('Reference-MeasureList'!$O$47:$O$50,MATCH('Input-EWEMs'!E32,'Reference-MeasureList'!$J$47:$J$50,0)),'Input-EWEMs'!E32))</f>
        <v/>
      </c>
      <c r="F22" s="3" t="str">
        <f>IF('Input-EWEMs'!$D32="", "", 'Input-EWEMs'!F32)</f>
        <v/>
      </c>
      <c r="G22" s="3" t="str">
        <f>IF('Input-EWEMs'!$D32="", "", 'Input-EWEMs'!G32)</f>
        <v/>
      </c>
      <c r="H22" s="3" t="str">
        <f>IF('Input-EWEMs'!$H32="", "", 'Input-EWEMs'!H32)</f>
        <v/>
      </c>
      <c r="I22" s="3" t="str">
        <f>IF('Input-EWEMs'!$I32="", "", 'Input-EWEMs'!I32)</f>
        <v/>
      </c>
      <c r="J22" s="3" t="str">
        <f>IF('Input-EWEMs'!$I32="", "", I22/'DB-Properties'!$K$2)</f>
        <v/>
      </c>
      <c r="K22" s="116" t="str">
        <f>IF('Input-EWEMs'!$D32="", "",ROUND('Input-EWEMs'!K32,0))</f>
        <v/>
      </c>
      <c r="L22" s="116" t="str">
        <f>IF('Input-EWEMs'!$D32="", "",SUM(O22,R22))</f>
        <v/>
      </c>
      <c r="M22" s="116" t="str">
        <f>IF('Input-EWEMs'!$D32="", "",ROUND('Input-EWEMs'!L32,0))</f>
        <v/>
      </c>
      <c r="N22" s="116" t="str">
        <f>IF('Input-EWEMs'!$D32="", "",ROUND('Input-EWEMs'!M32,0))</f>
        <v/>
      </c>
      <c r="O22" s="116" t="str">
        <f>IF('Input-EWEMs'!$D32="", "",ROUND('Input-EWEMs'!N32,0))</f>
        <v/>
      </c>
      <c r="P22" s="116" t="str">
        <f>IF('Input-EWEMs'!$D32="", "",ROUND('Input-EWEMs'!O32,0))</f>
        <v/>
      </c>
      <c r="Q22" s="116" t="str">
        <f>IF('Input-EWEMs'!$D32="", "",ROUND('Input-EWEMs'!P32,0))</f>
        <v/>
      </c>
      <c r="R22" s="116" t="str">
        <f>IF('Input-EWEMs'!$D32="", "",ROUND('Input-EWEMs'!Q32,0))</f>
        <v/>
      </c>
      <c r="S22" s="116" t="str">
        <f>IF('Input-EWEMs'!$D32="", "",'Input-EWEMs'!V32)</f>
        <v/>
      </c>
      <c r="T22" s="116" t="str">
        <f>IF('Input-EWEMs'!$D32="", "",IFERROR(INDEX('Input-EWEMs'!$W32:$X32,MATCH("Natural Gas",'Input-EWEMs'!$W$10:$X$10,0)),0))</f>
        <v/>
      </c>
      <c r="U22" s="116" t="str">
        <f>IF('Input-EWEMs'!$D32="", "",IFERROR(INDEX('Input-EWEMs'!$W32:$X32,MATCH("Fuel Oil #2",'Input-EWEMs'!$W$10:$X$10,0)),0))</f>
        <v/>
      </c>
      <c r="V22" s="116" t="str">
        <f>IF('Input-EWEMs'!$D32="", "",IFERROR(INDEX('Input-EWEMs'!$W32:$X32,MATCH("Fuel Oil #4",'Input-EWEMs'!$W$10:$X$10,0)),0))</f>
        <v/>
      </c>
      <c r="W22" s="116" t="str">
        <f>IF('Input-EWEMs'!$D32="", "",IFERROR(INDEX('Input-EWEMs'!$W32:$X32,MATCH("Fuel Oil #6",'Input-EWEMs'!$W$10:$X$10,0)),0))</f>
        <v/>
      </c>
      <c r="X22" s="116" t="str">
        <f>IF('Input-EWEMs'!$D32="", "",IFERROR(INDEX('Input-EWEMs'!$W32:$X32,MATCH("District Steam",'Input-EWEMs'!$W$10:$X$10,0)),0))</f>
        <v/>
      </c>
      <c r="Y22" s="116" t="str">
        <f>IF('Input-EWEMs'!$D32="", "",IFERROR(INDEX('Input-EWEMs'!$W32:$X32,MATCH("Propane",'Input-EWEMs'!$W$10:$X$10,0)),0))</f>
        <v/>
      </c>
      <c r="Z22" s="116" t="str">
        <f>IF('Input-EWEMs'!$D32="", "",'Input-EWEMs'!Y32)</f>
        <v/>
      </c>
      <c r="AA22" s="116" t="str">
        <f>IF('Input-EWEMs'!$D32="", "",IFERROR(INDEX('Input-EWEMs'!$Z32:$AA32,MATCH("Natural Gas",'Input-EWEMs'!$Z$10:$AA$10,0)),0))</f>
        <v/>
      </c>
      <c r="AB22" s="116" t="str">
        <f>IF('Input-EWEMs'!$D32="", "",IFERROR(INDEX('Input-EWEMs'!$Z32:$AA32,MATCH("Fuel Oil #2",'Input-EWEMs'!$Z$10:$AA$10,0)),0))</f>
        <v/>
      </c>
      <c r="AC22" s="116" t="str">
        <f>IF('Input-EWEMs'!$D32="", "",IFERROR(INDEX('Input-EWEMs'!$Z32:$AA32,MATCH("Fuel Oil #4",'Input-EWEMs'!$Z$10:$AA$10,0)),0))</f>
        <v/>
      </c>
      <c r="AD22" s="116" t="str">
        <f>IF('Input-EWEMs'!$D32="", "",IFERROR(INDEX('Input-EWEMs'!$Z32:$AA32,MATCH("Fuel Oil #6",'Input-EWEMs'!$Z$10:$AA$10,0)),0))</f>
        <v/>
      </c>
      <c r="AE22" s="116" t="str">
        <f>IF('Input-EWEMs'!$D32="", "",IFERROR(INDEX('Input-EWEMs'!$Z32:$AA32,MATCH("District Steam",'Input-EWEMs'!$Z$10:$AA$10,0)),0))</f>
        <v/>
      </c>
      <c r="AF22" s="116" t="str">
        <f>IF('Input-EWEMs'!$D32="", "",IFERROR(INDEX('Input-EWEMs'!$Z32:$AA32,MATCH("Propane",'Input-EWEMs'!$Z$10:$AA$10,0)),0))</f>
        <v/>
      </c>
      <c r="AG22" s="116" t="str">
        <f>IF('Input-EWEMs'!$D32="", "",SUM(S22:Y22))</f>
        <v/>
      </c>
      <c r="AH22" s="116" t="str">
        <f>IF('Input-EWEMs'!$D32="", "",SUM(Z22:AF22))</f>
        <v/>
      </c>
      <c r="AI22" s="116" t="str">
        <f>IF('Input-EWEMs'!$D32="", "",'Input-EWEMs'!AD32)</f>
        <v/>
      </c>
      <c r="AJ22" s="3" t="str">
        <f>IF('Input-EWEMs'!$D32="", "",'Input-EWEMs'!AF32)</f>
        <v/>
      </c>
      <c r="AK22" s="3" t="str">
        <f>IF('Input-EWEMs'!$D32="", "",'Input-EWEMs'!AG32)</f>
        <v/>
      </c>
      <c r="AL22" s="116" t="str">
        <f>IF('Input-EWEMs'!$D32="", "",'Input-EWEMs'!AH32)</f>
        <v/>
      </c>
      <c r="AM22" s="116" t="str">
        <f t="shared" ref="AM22:AM31" si="1">IFERROR(L22*AL22,"")</f>
        <v/>
      </c>
      <c r="AN22" s="116" t="str">
        <f>IF('Input-EWEMs'!$D32="", "",IFERROR('Input-EWEMs'!R32*INDEX(Assumptions!$H$6:$H$22,MATCH('Input-EWEMs'!R$11,Assumptions!$C$6:$C$22,0)),0)+IFERROR('Input-EWEMs'!S32*INDEX(Assumptions!$H$6:$H$22,MATCH('Input-EWEMs'!S$11,Assumptions!$C$6:$C$22,0)),0)+IFERROR('Input-EWEMs'!T32*INDEX(Assumptions!$H$6:$H$22,MATCH('Input-EWEMs'!T$11,Assumptions!$C$6:$C$22,0)),0))</f>
        <v/>
      </c>
    </row>
    <row r="23" spans="1:40">
      <c r="A23" s="3"/>
      <c r="B23" s="116" t="str">
        <f>IF('Input-EWEMs'!D33="","",IF(COUNTIF('Input-EWEMs'!C$52:C$61,'Input-EWEMs'!C33)&lt;1,'Lender Validation'!B62,"No"))</f>
        <v/>
      </c>
      <c r="C23" s="3" t="str">
        <f>IF('Input-EWEMs'!$D33="", "", 'Input-EWEMs'!C33)</f>
        <v/>
      </c>
      <c r="D23" s="3" t="str">
        <f>IF('Input-EWEMs'!$D33="", "", 'Input-EWEMs'!D33)</f>
        <v/>
      </c>
      <c r="E23" s="3" t="str">
        <f>IF('Input-EWEMs'!$D33="", "", IFERROR(INDEX('Reference-MeasureList'!$O$47:$O$50,MATCH('Input-EWEMs'!E33,'Reference-MeasureList'!$J$47:$J$50,0)),'Input-EWEMs'!E33))</f>
        <v/>
      </c>
      <c r="F23" s="3" t="str">
        <f>IF('Input-EWEMs'!$D33="", "", 'Input-EWEMs'!F33)</f>
        <v/>
      </c>
      <c r="G23" s="3" t="str">
        <f>IF('Input-EWEMs'!$D33="", "", 'Input-EWEMs'!G33)</f>
        <v/>
      </c>
      <c r="H23" s="3" t="str">
        <f>IF('Input-EWEMs'!$H33="", "", 'Input-EWEMs'!H33)</f>
        <v/>
      </c>
      <c r="I23" s="3" t="str">
        <f>IF('Input-EWEMs'!$I33="", "", 'Input-EWEMs'!I33)</f>
        <v/>
      </c>
      <c r="J23" s="3" t="str">
        <f>IF('Input-EWEMs'!$I33="", "", I23/'DB-Properties'!$K$2)</f>
        <v/>
      </c>
      <c r="K23" s="116" t="str">
        <f>IF('Input-EWEMs'!$D33="", "",ROUND('Input-EWEMs'!K33,0))</f>
        <v/>
      </c>
      <c r="L23" s="116" t="str">
        <f>IF('Input-EWEMs'!$D33="", "",SUM(O23,R23))</f>
        <v/>
      </c>
      <c r="M23" s="116" t="str">
        <f>IF('Input-EWEMs'!$D33="", "",ROUND('Input-EWEMs'!L33,0))</f>
        <v/>
      </c>
      <c r="N23" s="116" t="str">
        <f>IF('Input-EWEMs'!$D33="", "",ROUND('Input-EWEMs'!M33,0))</f>
        <v/>
      </c>
      <c r="O23" s="116" t="str">
        <f>IF('Input-EWEMs'!$D33="", "",ROUND('Input-EWEMs'!N33,0))</f>
        <v/>
      </c>
      <c r="P23" s="116" t="str">
        <f>IF('Input-EWEMs'!$D33="", "",ROUND('Input-EWEMs'!O33,0))</f>
        <v/>
      </c>
      <c r="Q23" s="116" t="str">
        <f>IF('Input-EWEMs'!$D33="", "",ROUND('Input-EWEMs'!P33,0))</f>
        <v/>
      </c>
      <c r="R23" s="116" t="str">
        <f>IF('Input-EWEMs'!$D33="", "",ROUND('Input-EWEMs'!Q33,0))</f>
        <v/>
      </c>
      <c r="S23" s="116" t="str">
        <f>IF('Input-EWEMs'!$D33="", "",'Input-EWEMs'!V33)</f>
        <v/>
      </c>
      <c r="T23" s="116" t="str">
        <f>IF('Input-EWEMs'!$D33="", "",IFERROR(INDEX('Input-EWEMs'!$W33:$X33,MATCH("Natural Gas",'Input-EWEMs'!$W$10:$X$10,0)),0))</f>
        <v/>
      </c>
      <c r="U23" s="116" t="str">
        <f>IF('Input-EWEMs'!$D33="", "",IFERROR(INDEX('Input-EWEMs'!$W33:$X33,MATCH("Fuel Oil #2",'Input-EWEMs'!$W$10:$X$10,0)),0))</f>
        <v/>
      </c>
      <c r="V23" s="116" t="str">
        <f>IF('Input-EWEMs'!$D33="", "",IFERROR(INDEX('Input-EWEMs'!$W33:$X33,MATCH("Fuel Oil #4",'Input-EWEMs'!$W$10:$X$10,0)),0))</f>
        <v/>
      </c>
      <c r="W23" s="116" t="str">
        <f>IF('Input-EWEMs'!$D33="", "",IFERROR(INDEX('Input-EWEMs'!$W33:$X33,MATCH("Fuel Oil #6",'Input-EWEMs'!$W$10:$X$10,0)),0))</f>
        <v/>
      </c>
      <c r="X23" s="116" t="str">
        <f>IF('Input-EWEMs'!$D33="", "",IFERROR(INDEX('Input-EWEMs'!$W33:$X33,MATCH("District Steam",'Input-EWEMs'!$W$10:$X$10,0)),0))</f>
        <v/>
      </c>
      <c r="Y23" s="116" t="str">
        <f>IF('Input-EWEMs'!$D33="", "",IFERROR(INDEX('Input-EWEMs'!$W33:$X33,MATCH("Propane",'Input-EWEMs'!$W$10:$X$10,0)),0))</f>
        <v/>
      </c>
      <c r="Z23" s="116" t="str">
        <f>IF('Input-EWEMs'!$D33="", "",'Input-EWEMs'!Y33)</f>
        <v/>
      </c>
      <c r="AA23" s="116" t="str">
        <f>IF('Input-EWEMs'!$D33="", "",IFERROR(INDEX('Input-EWEMs'!$Z33:$AA33,MATCH("Natural Gas",'Input-EWEMs'!$Z$10:$AA$10,0)),0))</f>
        <v/>
      </c>
      <c r="AB23" s="116" t="str">
        <f>IF('Input-EWEMs'!$D33="", "",IFERROR(INDEX('Input-EWEMs'!$Z33:$AA33,MATCH("Fuel Oil #2",'Input-EWEMs'!$Z$10:$AA$10,0)),0))</f>
        <v/>
      </c>
      <c r="AC23" s="116" t="str">
        <f>IF('Input-EWEMs'!$D33="", "",IFERROR(INDEX('Input-EWEMs'!$Z33:$AA33,MATCH("Fuel Oil #4",'Input-EWEMs'!$Z$10:$AA$10,0)),0))</f>
        <v/>
      </c>
      <c r="AD23" s="116" t="str">
        <f>IF('Input-EWEMs'!$D33="", "",IFERROR(INDEX('Input-EWEMs'!$Z33:$AA33,MATCH("Fuel Oil #6",'Input-EWEMs'!$Z$10:$AA$10,0)),0))</f>
        <v/>
      </c>
      <c r="AE23" s="116" t="str">
        <f>IF('Input-EWEMs'!$D33="", "",IFERROR(INDEX('Input-EWEMs'!$Z33:$AA33,MATCH("District Steam",'Input-EWEMs'!$Z$10:$AA$10,0)),0))</f>
        <v/>
      </c>
      <c r="AF23" s="116" t="str">
        <f>IF('Input-EWEMs'!$D33="", "",IFERROR(INDEX('Input-EWEMs'!$Z33:$AA33,MATCH("Propane",'Input-EWEMs'!$Z$10:$AA$10,0)),0))</f>
        <v/>
      </c>
      <c r="AG23" s="116" t="str">
        <f>IF('Input-EWEMs'!$D33="", "",SUM(S23:Y23))</f>
        <v/>
      </c>
      <c r="AH23" s="116" t="str">
        <f>IF('Input-EWEMs'!$D33="", "",SUM(Z23:AF23))</f>
        <v/>
      </c>
      <c r="AI23" s="116" t="str">
        <f>IF('Input-EWEMs'!$D33="", "",'Input-EWEMs'!AD33)</f>
        <v/>
      </c>
      <c r="AJ23" s="3" t="str">
        <f>IF('Input-EWEMs'!$D33="", "",'Input-EWEMs'!AF33)</f>
        <v/>
      </c>
      <c r="AK23" s="3" t="str">
        <f>IF('Input-EWEMs'!$D33="", "",'Input-EWEMs'!AG33)</f>
        <v/>
      </c>
      <c r="AL23" s="116" t="str">
        <f>IF('Input-EWEMs'!$D33="", "",'Input-EWEMs'!AH33)</f>
        <v/>
      </c>
      <c r="AM23" s="116" t="str">
        <f t="shared" si="1"/>
        <v/>
      </c>
      <c r="AN23" s="116" t="str">
        <f>IF('Input-EWEMs'!$D33="", "",IFERROR('Input-EWEMs'!R33*INDEX(Assumptions!$H$6:$H$22,MATCH('Input-EWEMs'!R$11,Assumptions!$C$6:$C$22,0)),0)+IFERROR('Input-EWEMs'!S33*INDEX(Assumptions!$H$6:$H$22,MATCH('Input-EWEMs'!S$11,Assumptions!$C$6:$C$22,0)),0)+IFERROR('Input-EWEMs'!T33*INDEX(Assumptions!$H$6:$H$22,MATCH('Input-EWEMs'!T$11,Assumptions!$C$6:$C$22,0)),0))</f>
        <v/>
      </c>
    </row>
    <row r="24" spans="1:40">
      <c r="A24" s="3"/>
      <c r="B24" s="116" t="str">
        <f>IF('Input-EWEMs'!D34="","",IF(COUNTIF('Input-EWEMs'!C$52:C$61,'Input-EWEMs'!C34)&lt;1,'Lender Validation'!B63,"No"))</f>
        <v/>
      </c>
      <c r="C24" s="3" t="str">
        <f>IF('Input-EWEMs'!$D34="", "", 'Input-EWEMs'!C34)</f>
        <v/>
      </c>
      <c r="D24" s="3" t="str">
        <f>IF('Input-EWEMs'!$D34="", "", 'Input-EWEMs'!D34)</f>
        <v/>
      </c>
      <c r="E24" s="3" t="str">
        <f>IF('Input-EWEMs'!$D34="", "", IFERROR(INDEX('Reference-MeasureList'!$O$47:$O$50,MATCH('Input-EWEMs'!E34,'Reference-MeasureList'!$J$47:$J$50,0)),'Input-EWEMs'!E34))</f>
        <v/>
      </c>
      <c r="F24" s="3" t="str">
        <f>IF('Input-EWEMs'!$D34="", "", 'Input-EWEMs'!F34)</f>
        <v/>
      </c>
      <c r="G24" s="3" t="str">
        <f>IF('Input-EWEMs'!$D34="", "", 'Input-EWEMs'!G34)</f>
        <v/>
      </c>
      <c r="H24" s="3" t="str">
        <f>IF('Input-EWEMs'!$H34="", "", 'Input-EWEMs'!H34)</f>
        <v/>
      </c>
      <c r="I24" s="3" t="str">
        <f>IF('Input-EWEMs'!$I34="", "", 'Input-EWEMs'!I34)</f>
        <v/>
      </c>
      <c r="J24" s="3" t="str">
        <f>IF('Input-EWEMs'!$I34="", "", I24/'DB-Properties'!$K$2)</f>
        <v/>
      </c>
      <c r="K24" s="116" t="str">
        <f>IF('Input-EWEMs'!$D34="", "",ROUND('Input-EWEMs'!K34,0))</f>
        <v/>
      </c>
      <c r="L24" s="116" t="str">
        <f>IF('Input-EWEMs'!$D34="", "",SUM(O24,R24))</f>
        <v/>
      </c>
      <c r="M24" s="116" t="str">
        <f>IF('Input-EWEMs'!$D34="", "",ROUND('Input-EWEMs'!L34,0))</f>
        <v/>
      </c>
      <c r="N24" s="116" t="str">
        <f>IF('Input-EWEMs'!$D34="", "",ROUND('Input-EWEMs'!M34,0))</f>
        <v/>
      </c>
      <c r="O24" s="116" t="str">
        <f>IF('Input-EWEMs'!$D34="", "",ROUND('Input-EWEMs'!N34,0))</f>
        <v/>
      </c>
      <c r="P24" s="116" t="str">
        <f>IF('Input-EWEMs'!$D34="", "",ROUND('Input-EWEMs'!O34,0))</f>
        <v/>
      </c>
      <c r="Q24" s="116" t="str">
        <f>IF('Input-EWEMs'!$D34="", "",ROUND('Input-EWEMs'!P34,0))</f>
        <v/>
      </c>
      <c r="R24" s="116" t="str">
        <f>IF('Input-EWEMs'!$D34="", "",ROUND('Input-EWEMs'!Q34,0))</f>
        <v/>
      </c>
      <c r="S24" s="116" t="str">
        <f>IF('Input-EWEMs'!$D34="", "",'Input-EWEMs'!V34)</f>
        <v/>
      </c>
      <c r="T24" s="116" t="str">
        <f>IF('Input-EWEMs'!$D34="", "",IFERROR(INDEX('Input-EWEMs'!$W34:$X34,MATCH("Natural Gas",'Input-EWEMs'!$W$10:$X$10,0)),0))</f>
        <v/>
      </c>
      <c r="U24" s="116" t="str">
        <f>IF('Input-EWEMs'!$D34="", "",IFERROR(INDEX('Input-EWEMs'!$W34:$X34,MATCH("Fuel Oil #2",'Input-EWEMs'!$W$10:$X$10,0)),0))</f>
        <v/>
      </c>
      <c r="V24" s="116" t="str">
        <f>IF('Input-EWEMs'!$D34="", "",IFERROR(INDEX('Input-EWEMs'!$W34:$X34,MATCH("Fuel Oil #4",'Input-EWEMs'!$W$10:$X$10,0)),0))</f>
        <v/>
      </c>
      <c r="W24" s="116" t="str">
        <f>IF('Input-EWEMs'!$D34="", "",IFERROR(INDEX('Input-EWEMs'!$W34:$X34,MATCH("Fuel Oil #6",'Input-EWEMs'!$W$10:$X$10,0)),0))</f>
        <v/>
      </c>
      <c r="X24" s="116" t="str">
        <f>IF('Input-EWEMs'!$D34="", "",IFERROR(INDEX('Input-EWEMs'!$W34:$X34,MATCH("District Steam",'Input-EWEMs'!$W$10:$X$10,0)),0))</f>
        <v/>
      </c>
      <c r="Y24" s="116" t="str">
        <f>IF('Input-EWEMs'!$D34="", "",IFERROR(INDEX('Input-EWEMs'!$W34:$X34,MATCH("Propane",'Input-EWEMs'!$W$10:$X$10,0)),0))</f>
        <v/>
      </c>
      <c r="Z24" s="116" t="str">
        <f>IF('Input-EWEMs'!$D34="", "",'Input-EWEMs'!Y34)</f>
        <v/>
      </c>
      <c r="AA24" s="116" t="str">
        <f>IF('Input-EWEMs'!$D34="", "",IFERROR(INDEX('Input-EWEMs'!$Z34:$AA34,MATCH("Natural Gas",'Input-EWEMs'!$Z$10:$AA$10,0)),0))</f>
        <v/>
      </c>
      <c r="AB24" s="116" t="str">
        <f>IF('Input-EWEMs'!$D34="", "",IFERROR(INDEX('Input-EWEMs'!$Z34:$AA34,MATCH("Fuel Oil #2",'Input-EWEMs'!$Z$10:$AA$10,0)),0))</f>
        <v/>
      </c>
      <c r="AC24" s="116" t="str">
        <f>IF('Input-EWEMs'!$D34="", "",IFERROR(INDEX('Input-EWEMs'!$Z34:$AA34,MATCH("Fuel Oil #4",'Input-EWEMs'!$Z$10:$AA$10,0)),0))</f>
        <v/>
      </c>
      <c r="AD24" s="116" t="str">
        <f>IF('Input-EWEMs'!$D34="", "",IFERROR(INDEX('Input-EWEMs'!$Z34:$AA34,MATCH("Fuel Oil #6",'Input-EWEMs'!$Z$10:$AA$10,0)),0))</f>
        <v/>
      </c>
      <c r="AE24" s="116" t="str">
        <f>IF('Input-EWEMs'!$D34="", "",IFERROR(INDEX('Input-EWEMs'!$Z34:$AA34,MATCH("District Steam",'Input-EWEMs'!$Z$10:$AA$10,0)),0))</f>
        <v/>
      </c>
      <c r="AF24" s="116" t="str">
        <f>IF('Input-EWEMs'!$D34="", "",IFERROR(INDEX('Input-EWEMs'!$Z34:$AA34,MATCH("Propane",'Input-EWEMs'!$Z$10:$AA$10,0)),0))</f>
        <v/>
      </c>
      <c r="AG24" s="116" t="str">
        <f>IF('Input-EWEMs'!$D34="", "",SUM(S24:Y24))</f>
        <v/>
      </c>
      <c r="AH24" s="116" t="str">
        <f>IF('Input-EWEMs'!$D34="", "",SUM(Z24:AF24))</f>
        <v/>
      </c>
      <c r="AI24" s="116" t="str">
        <f>IF('Input-EWEMs'!$D34="", "",'Input-EWEMs'!AD34)</f>
        <v/>
      </c>
      <c r="AJ24" s="3" t="str">
        <f>IF('Input-EWEMs'!$D34="", "",'Input-EWEMs'!AF34)</f>
        <v/>
      </c>
      <c r="AK24" s="3" t="str">
        <f>IF('Input-EWEMs'!$D34="", "",'Input-EWEMs'!AG34)</f>
        <v/>
      </c>
      <c r="AL24" s="116" t="str">
        <f>IF('Input-EWEMs'!$D34="", "",'Input-EWEMs'!AH34)</f>
        <v/>
      </c>
      <c r="AM24" s="116" t="str">
        <f t="shared" si="1"/>
        <v/>
      </c>
      <c r="AN24" s="116" t="str">
        <f>IF('Input-EWEMs'!$D34="", "",IFERROR('Input-EWEMs'!R34*INDEX(Assumptions!$H$6:$H$22,MATCH('Input-EWEMs'!R$11,Assumptions!$C$6:$C$22,0)),0)+IFERROR('Input-EWEMs'!S34*INDEX(Assumptions!$H$6:$H$22,MATCH('Input-EWEMs'!S$11,Assumptions!$C$6:$C$22,0)),0)+IFERROR('Input-EWEMs'!T34*INDEX(Assumptions!$H$6:$H$22,MATCH('Input-EWEMs'!T$11,Assumptions!$C$6:$C$22,0)),0))</f>
        <v/>
      </c>
    </row>
    <row r="25" spans="1:40">
      <c r="A25" s="3"/>
      <c r="B25" s="116" t="str">
        <f>IF('Input-EWEMs'!D35="","",IF(COUNTIF('Input-EWEMs'!C$52:C$61,'Input-EWEMs'!C35)&lt;1,'Lender Validation'!B64,"No"))</f>
        <v/>
      </c>
      <c r="C25" s="3" t="str">
        <f>IF('Input-EWEMs'!$D35="", "", 'Input-EWEMs'!C35)</f>
        <v/>
      </c>
      <c r="D25" s="3" t="str">
        <f>IF('Input-EWEMs'!$D35="", "", 'Input-EWEMs'!D35)</f>
        <v/>
      </c>
      <c r="E25" s="3" t="str">
        <f>IF('Input-EWEMs'!$D35="", "", IFERROR(INDEX('Reference-MeasureList'!$O$47:$O$50,MATCH('Input-EWEMs'!E35,'Reference-MeasureList'!$J$47:$J$50,0)),'Input-EWEMs'!E35))</f>
        <v/>
      </c>
      <c r="F25" s="3" t="str">
        <f>IF('Input-EWEMs'!$D35="", "", 'Input-EWEMs'!F35)</f>
        <v/>
      </c>
      <c r="G25" s="3" t="str">
        <f>IF('Input-EWEMs'!$D35="", "", 'Input-EWEMs'!G35)</f>
        <v/>
      </c>
      <c r="H25" s="3" t="str">
        <f>IF('Input-EWEMs'!$H35="", "", 'Input-EWEMs'!H35)</f>
        <v/>
      </c>
      <c r="I25" s="3" t="str">
        <f>IF('Input-EWEMs'!$I35="", "", 'Input-EWEMs'!I35)</f>
        <v/>
      </c>
      <c r="J25" s="3" t="str">
        <f>IF('Input-EWEMs'!$I35="", "", I25/'DB-Properties'!$K$2)</f>
        <v/>
      </c>
      <c r="K25" s="116" t="str">
        <f>IF('Input-EWEMs'!$D35="", "",ROUND('Input-EWEMs'!K35,0))</f>
        <v/>
      </c>
      <c r="L25" s="116" t="str">
        <f>IF('Input-EWEMs'!$D35="", "",SUM(O25,R25))</f>
        <v/>
      </c>
      <c r="M25" s="116" t="str">
        <f>IF('Input-EWEMs'!$D35="", "",ROUND('Input-EWEMs'!L35,0))</f>
        <v/>
      </c>
      <c r="N25" s="116" t="str">
        <f>IF('Input-EWEMs'!$D35="", "",ROUND('Input-EWEMs'!M35,0))</f>
        <v/>
      </c>
      <c r="O25" s="116" t="str">
        <f>IF('Input-EWEMs'!$D35="", "",ROUND('Input-EWEMs'!N35,0))</f>
        <v/>
      </c>
      <c r="P25" s="116" t="str">
        <f>IF('Input-EWEMs'!$D35="", "",ROUND('Input-EWEMs'!O35,0))</f>
        <v/>
      </c>
      <c r="Q25" s="116" t="str">
        <f>IF('Input-EWEMs'!$D35="", "",ROUND('Input-EWEMs'!P35,0))</f>
        <v/>
      </c>
      <c r="R25" s="116" t="str">
        <f>IF('Input-EWEMs'!$D35="", "",ROUND('Input-EWEMs'!Q35,0))</f>
        <v/>
      </c>
      <c r="S25" s="116" t="str">
        <f>IF('Input-EWEMs'!$D35="", "",'Input-EWEMs'!V35)</f>
        <v/>
      </c>
      <c r="T25" s="116" t="str">
        <f>IF('Input-EWEMs'!$D35="", "",IFERROR(INDEX('Input-EWEMs'!$W35:$X35,MATCH("Natural Gas",'Input-EWEMs'!$W$10:$X$10,0)),0))</f>
        <v/>
      </c>
      <c r="U25" s="116" t="str">
        <f>IF('Input-EWEMs'!$D35="", "",IFERROR(INDEX('Input-EWEMs'!$W35:$X35,MATCH("Fuel Oil #2",'Input-EWEMs'!$W$10:$X$10,0)),0))</f>
        <v/>
      </c>
      <c r="V25" s="116" t="str">
        <f>IF('Input-EWEMs'!$D35="", "",IFERROR(INDEX('Input-EWEMs'!$W35:$X35,MATCH("Fuel Oil #4",'Input-EWEMs'!$W$10:$X$10,0)),0))</f>
        <v/>
      </c>
      <c r="W25" s="116" t="str">
        <f>IF('Input-EWEMs'!$D35="", "",IFERROR(INDEX('Input-EWEMs'!$W35:$X35,MATCH("Fuel Oil #6",'Input-EWEMs'!$W$10:$X$10,0)),0))</f>
        <v/>
      </c>
      <c r="X25" s="116" t="str">
        <f>IF('Input-EWEMs'!$D35="", "",IFERROR(INDEX('Input-EWEMs'!$W35:$X35,MATCH("District Steam",'Input-EWEMs'!$W$10:$X$10,0)),0))</f>
        <v/>
      </c>
      <c r="Y25" s="116" t="str">
        <f>IF('Input-EWEMs'!$D35="", "",IFERROR(INDEX('Input-EWEMs'!$W35:$X35,MATCH("Propane",'Input-EWEMs'!$W$10:$X$10,0)),0))</f>
        <v/>
      </c>
      <c r="Z25" s="116" t="str">
        <f>IF('Input-EWEMs'!$D35="", "",'Input-EWEMs'!Y35)</f>
        <v/>
      </c>
      <c r="AA25" s="116" t="str">
        <f>IF('Input-EWEMs'!$D35="", "",IFERROR(INDEX('Input-EWEMs'!$Z35:$AA35,MATCH("Natural Gas",'Input-EWEMs'!$Z$10:$AA$10,0)),0))</f>
        <v/>
      </c>
      <c r="AB25" s="116" t="str">
        <f>IF('Input-EWEMs'!$D35="", "",IFERROR(INDEX('Input-EWEMs'!$Z35:$AA35,MATCH("Fuel Oil #2",'Input-EWEMs'!$Z$10:$AA$10,0)),0))</f>
        <v/>
      </c>
      <c r="AC25" s="116" t="str">
        <f>IF('Input-EWEMs'!$D35="", "",IFERROR(INDEX('Input-EWEMs'!$Z35:$AA35,MATCH("Fuel Oil #4",'Input-EWEMs'!$Z$10:$AA$10,0)),0))</f>
        <v/>
      </c>
      <c r="AD25" s="116" t="str">
        <f>IF('Input-EWEMs'!$D35="", "",IFERROR(INDEX('Input-EWEMs'!$Z35:$AA35,MATCH("Fuel Oil #6",'Input-EWEMs'!$Z$10:$AA$10,0)),0))</f>
        <v/>
      </c>
      <c r="AE25" s="116" t="str">
        <f>IF('Input-EWEMs'!$D35="", "",IFERROR(INDEX('Input-EWEMs'!$Z35:$AA35,MATCH("District Steam",'Input-EWEMs'!$Z$10:$AA$10,0)),0))</f>
        <v/>
      </c>
      <c r="AF25" s="116" t="str">
        <f>IF('Input-EWEMs'!$D35="", "",IFERROR(INDEX('Input-EWEMs'!$Z35:$AA35,MATCH("Propane",'Input-EWEMs'!$Z$10:$AA$10,0)),0))</f>
        <v/>
      </c>
      <c r="AG25" s="116" t="str">
        <f>IF('Input-EWEMs'!$D35="", "",SUM(S25:Y25))</f>
        <v/>
      </c>
      <c r="AH25" s="116" t="str">
        <f>IF('Input-EWEMs'!$D35="", "",SUM(Z25:AF25))</f>
        <v/>
      </c>
      <c r="AI25" s="116" t="str">
        <f>IF('Input-EWEMs'!$D35="", "",'Input-EWEMs'!AD35)</f>
        <v/>
      </c>
      <c r="AJ25" s="3" t="str">
        <f>IF('Input-EWEMs'!$D35="", "",'Input-EWEMs'!AF35)</f>
        <v/>
      </c>
      <c r="AK25" s="3" t="str">
        <f>IF('Input-EWEMs'!$D35="", "",'Input-EWEMs'!AG35)</f>
        <v/>
      </c>
      <c r="AL25" s="116" t="str">
        <f>IF('Input-EWEMs'!$D35="", "",'Input-EWEMs'!AH35)</f>
        <v/>
      </c>
      <c r="AM25" s="116" t="str">
        <f t="shared" si="1"/>
        <v/>
      </c>
      <c r="AN25" s="116" t="str">
        <f>IF('Input-EWEMs'!$D35="", "",IFERROR('Input-EWEMs'!R35*INDEX(Assumptions!$H$6:$H$22,MATCH('Input-EWEMs'!R$11,Assumptions!$C$6:$C$22,0)),0)+IFERROR('Input-EWEMs'!S35*INDEX(Assumptions!$H$6:$H$22,MATCH('Input-EWEMs'!S$11,Assumptions!$C$6:$C$22,0)),0)+IFERROR('Input-EWEMs'!T35*INDEX(Assumptions!$H$6:$H$22,MATCH('Input-EWEMs'!T$11,Assumptions!$C$6:$C$22,0)),0))</f>
        <v/>
      </c>
    </row>
    <row r="26" spans="1:40">
      <c r="A26" s="3"/>
      <c r="B26" s="116" t="str">
        <f>IF('Input-EWEMs'!D36="","",IF(COUNTIF('Input-EWEMs'!C$52:C$61,'Input-EWEMs'!C36)&lt;1,'Lender Validation'!B65,"No"))</f>
        <v/>
      </c>
      <c r="C26" s="3" t="str">
        <f>IF('Input-EWEMs'!$D36="", "", 'Input-EWEMs'!C36)</f>
        <v/>
      </c>
      <c r="D26" s="3" t="str">
        <f>IF('Input-EWEMs'!$D36="", "", 'Input-EWEMs'!D36)</f>
        <v/>
      </c>
      <c r="E26" s="3" t="str">
        <f>IF('Input-EWEMs'!$D36="", "", IFERROR(INDEX('Reference-MeasureList'!$O$47:$O$50,MATCH('Input-EWEMs'!E36,'Reference-MeasureList'!$J$47:$J$50,0)),'Input-EWEMs'!E36))</f>
        <v/>
      </c>
      <c r="F26" s="3" t="str">
        <f>IF('Input-EWEMs'!$D36="", "", 'Input-EWEMs'!F36)</f>
        <v/>
      </c>
      <c r="G26" s="3" t="str">
        <f>IF('Input-EWEMs'!$D36="", "", 'Input-EWEMs'!G36)</f>
        <v/>
      </c>
      <c r="H26" s="3" t="str">
        <f>IF('Input-EWEMs'!$H36="", "", 'Input-EWEMs'!H36)</f>
        <v/>
      </c>
      <c r="I26" s="3" t="str">
        <f>IF('Input-EWEMs'!$I36="", "", 'Input-EWEMs'!I36)</f>
        <v/>
      </c>
      <c r="J26" s="3" t="str">
        <f>IF('Input-EWEMs'!$I36="", "", I26/'DB-Properties'!$K$2)</f>
        <v/>
      </c>
      <c r="K26" s="116" t="str">
        <f>IF('Input-EWEMs'!$D36="", "",ROUND('Input-EWEMs'!K36,0))</f>
        <v/>
      </c>
      <c r="L26" s="116" t="str">
        <f>IF('Input-EWEMs'!$D36="", "",SUM(O26,R26))</f>
        <v/>
      </c>
      <c r="M26" s="116" t="str">
        <f>IF('Input-EWEMs'!$D36="", "",ROUND('Input-EWEMs'!L36,0))</f>
        <v/>
      </c>
      <c r="N26" s="116" t="str">
        <f>IF('Input-EWEMs'!$D36="", "",ROUND('Input-EWEMs'!M36,0))</f>
        <v/>
      </c>
      <c r="O26" s="116" t="str">
        <f>IF('Input-EWEMs'!$D36="", "",ROUND('Input-EWEMs'!N36,0))</f>
        <v/>
      </c>
      <c r="P26" s="116" t="str">
        <f>IF('Input-EWEMs'!$D36="", "",ROUND('Input-EWEMs'!O36,0))</f>
        <v/>
      </c>
      <c r="Q26" s="116" t="str">
        <f>IF('Input-EWEMs'!$D36="", "",ROUND('Input-EWEMs'!P36,0))</f>
        <v/>
      </c>
      <c r="R26" s="116" t="str">
        <f>IF('Input-EWEMs'!$D36="", "",ROUND('Input-EWEMs'!Q36,0))</f>
        <v/>
      </c>
      <c r="S26" s="116" t="str">
        <f>IF('Input-EWEMs'!$D36="", "",'Input-EWEMs'!V36)</f>
        <v/>
      </c>
      <c r="T26" s="116" t="str">
        <f>IF('Input-EWEMs'!$D36="", "",IFERROR(INDEX('Input-EWEMs'!$W36:$X36,MATCH("Natural Gas",'Input-EWEMs'!$W$10:$X$10,0)),0))</f>
        <v/>
      </c>
      <c r="U26" s="116" t="str">
        <f>IF('Input-EWEMs'!$D36="", "",IFERROR(INDEX('Input-EWEMs'!$W36:$X36,MATCH("Fuel Oil #2",'Input-EWEMs'!$W$10:$X$10,0)),0))</f>
        <v/>
      </c>
      <c r="V26" s="116" t="str">
        <f>IF('Input-EWEMs'!$D36="", "",IFERROR(INDEX('Input-EWEMs'!$W36:$X36,MATCH("Fuel Oil #4",'Input-EWEMs'!$W$10:$X$10,0)),0))</f>
        <v/>
      </c>
      <c r="W26" s="116" t="str">
        <f>IF('Input-EWEMs'!$D36="", "",IFERROR(INDEX('Input-EWEMs'!$W36:$X36,MATCH("Fuel Oil #6",'Input-EWEMs'!$W$10:$X$10,0)),0))</f>
        <v/>
      </c>
      <c r="X26" s="116" t="str">
        <f>IF('Input-EWEMs'!$D36="", "",IFERROR(INDEX('Input-EWEMs'!$W36:$X36,MATCH("District Steam",'Input-EWEMs'!$W$10:$X$10,0)),0))</f>
        <v/>
      </c>
      <c r="Y26" s="116" t="str">
        <f>IF('Input-EWEMs'!$D36="", "",IFERROR(INDEX('Input-EWEMs'!$W36:$X36,MATCH("Propane",'Input-EWEMs'!$W$10:$X$10,0)),0))</f>
        <v/>
      </c>
      <c r="Z26" s="116" t="str">
        <f>IF('Input-EWEMs'!$D36="", "",'Input-EWEMs'!Y36)</f>
        <v/>
      </c>
      <c r="AA26" s="116" t="str">
        <f>IF('Input-EWEMs'!$D36="", "",IFERROR(INDEX('Input-EWEMs'!$Z36:$AA36,MATCH("Natural Gas",'Input-EWEMs'!$Z$10:$AA$10,0)),0))</f>
        <v/>
      </c>
      <c r="AB26" s="116" t="str">
        <f>IF('Input-EWEMs'!$D36="", "",IFERROR(INDEX('Input-EWEMs'!$Z36:$AA36,MATCH("Fuel Oil #2",'Input-EWEMs'!$Z$10:$AA$10,0)),0))</f>
        <v/>
      </c>
      <c r="AC26" s="116" t="str">
        <f>IF('Input-EWEMs'!$D36="", "",IFERROR(INDEX('Input-EWEMs'!$Z36:$AA36,MATCH("Fuel Oil #4",'Input-EWEMs'!$Z$10:$AA$10,0)),0))</f>
        <v/>
      </c>
      <c r="AD26" s="116" t="str">
        <f>IF('Input-EWEMs'!$D36="", "",IFERROR(INDEX('Input-EWEMs'!$Z36:$AA36,MATCH("Fuel Oil #6",'Input-EWEMs'!$Z$10:$AA$10,0)),0))</f>
        <v/>
      </c>
      <c r="AE26" s="116" t="str">
        <f>IF('Input-EWEMs'!$D36="", "",IFERROR(INDEX('Input-EWEMs'!$Z36:$AA36,MATCH("District Steam",'Input-EWEMs'!$Z$10:$AA$10,0)),0))</f>
        <v/>
      </c>
      <c r="AF26" s="116" t="str">
        <f>IF('Input-EWEMs'!$D36="", "",IFERROR(INDEX('Input-EWEMs'!$Z36:$AA36,MATCH("Propane",'Input-EWEMs'!$Z$10:$AA$10,0)),0))</f>
        <v/>
      </c>
      <c r="AG26" s="116" t="str">
        <f>IF('Input-EWEMs'!$D36="", "",SUM(S26:Y26))</f>
        <v/>
      </c>
      <c r="AH26" s="116" t="str">
        <f>IF('Input-EWEMs'!$D36="", "",SUM(Z26:AF26))</f>
        <v/>
      </c>
      <c r="AI26" s="116" t="str">
        <f>IF('Input-EWEMs'!$D36="", "",'Input-EWEMs'!AD36)</f>
        <v/>
      </c>
      <c r="AJ26" s="3" t="str">
        <f>IF('Input-EWEMs'!$D36="", "",'Input-EWEMs'!AF36)</f>
        <v/>
      </c>
      <c r="AK26" s="3" t="str">
        <f>IF('Input-EWEMs'!$D36="", "",'Input-EWEMs'!AG36)</f>
        <v/>
      </c>
      <c r="AL26" s="116" t="str">
        <f>IF('Input-EWEMs'!$D36="", "",'Input-EWEMs'!AH36)</f>
        <v/>
      </c>
      <c r="AM26" s="116" t="str">
        <f t="shared" si="1"/>
        <v/>
      </c>
      <c r="AN26" s="116" t="str">
        <f>IF('Input-EWEMs'!$D36="", "",IFERROR('Input-EWEMs'!R36*INDEX(Assumptions!$H$6:$H$22,MATCH('Input-EWEMs'!R$11,Assumptions!$C$6:$C$22,0)),0)+IFERROR('Input-EWEMs'!S36*INDEX(Assumptions!$H$6:$H$22,MATCH('Input-EWEMs'!S$11,Assumptions!$C$6:$C$22,0)),0)+IFERROR('Input-EWEMs'!T36*INDEX(Assumptions!$H$6:$H$22,MATCH('Input-EWEMs'!T$11,Assumptions!$C$6:$C$22,0)),0))</f>
        <v/>
      </c>
    </row>
    <row r="27" spans="1:40">
      <c r="A27" s="3"/>
      <c r="B27" s="116" t="str">
        <f>IF('Input-EWEMs'!D37="","",IF(COUNTIF('Input-EWEMs'!C$52:C$61,'Input-EWEMs'!C37)&lt;1,'Lender Validation'!B66,"No"))</f>
        <v/>
      </c>
      <c r="C27" s="3" t="str">
        <f>IF('Input-EWEMs'!$D37="", "", 'Input-EWEMs'!C37)</f>
        <v/>
      </c>
      <c r="D27" s="3" t="str">
        <f>IF('Input-EWEMs'!$D37="", "", 'Input-EWEMs'!D37)</f>
        <v/>
      </c>
      <c r="E27" s="3" t="str">
        <f>IF('Input-EWEMs'!$D37="", "", IFERROR(INDEX('Reference-MeasureList'!$O$47:$O$50,MATCH('Input-EWEMs'!E37,'Reference-MeasureList'!$J$47:$J$50,0)),'Input-EWEMs'!E37))</f>
        <v/>
      </c>
      <c r="F27" s="3" t="str">
        <f>IF('Input-EWEMs'!$D37="", "", 'Input-EWEMs'!F37)</f>
        <v/>
      </c>
      <c r="G27" s="3" t="str">
        <f>IF('Input-EWEMs'!$D37="", "", 'Input-EWEMs'!G37)</f>
        <v/>
      </c>
      <c r="H27" s="3" t="str">
        <f>IF('Input-EWEMs'!$H37="", "", 'Input-EWEMs'!H37)</f>
        <v/>
      </c>
      <c r="I27" s="3" t="str">
        <f>IF('Input-EWEMs'!$I37="", "", 'Input-EWEMs'!I37)</f>
        <v/>
      </c>
      <c r="J27" s="3" t="str">
        <f>IF('Input-EWEMs'!$I37="", "", I27/'DB-Properties'!$K$2)</f>
        <v/>
      </c>
      <c r="K27" s="116" t="str">
        <f>IF('Input-EWEMs'!$D37="", "",ROUND('Input-EWEMs'!K37,0))</f>
        <v/>
      </c>
      <c r="L27" s="116" t="str">
        <f>IF('Input-EWEMs'!$D37="", "",SUM(O27,R27))</f>
        <v/>
      </c>
      <c r="M27" s="116" t="str">
        <f>IF('Input-EWEMs'!$D37="", "",ROUND('Input-EWEMs'!L37,0))</f>
        <v/>
      </c>
      <c r="N27" s="116" t="str">
        <f>IF('Input-EWEMs'!$D37="", "",ROUND('Input-EWEMs'!M37,0))</f>
        <v/>
      </c>
      <c r="O27" s="116" t="str">
        <f>IF('Input-EWEMs'!$D37="", "",ROUND('Input-EWEMs'!N37,0))</f>
        <v/>
      </c>
      <c r="P27" s="116" t="str">
        <f>IF('Input-EWEMs'!$D37="", "",ROUND('Input-EWEMs'!O37,0))</f>
        <v/>
      </c>
      <c r="Q27" s="116" t="str">
        <f>IF('Input-EWEMs'!$D37="", "",ROUND('Input-EWEMs'!P37,0))</f>
        <v/>
      </c>
      <c r="R27" s="116" t="str">
        <f>IF('Input-EWEMs'!$D37="", "",ROUND('Input-EWEMs'!Q37,0))</f>
        <v/>
      </c>
      <c r="S27" s="116" t="str">
        <f>IF('Input-EWEMs'!$D37="", "",'Input-EWEMs'!V37)</f>
        <v/>
      </c>
      <c r="T27" s="116" t="str">
        <f>IF('Input-EWEMs'!$D37="", "",IFERROR(INDEX('Input-EWEMs'!$W37:$X37,MATCH("Natural Gas",'Input-EWEMs'!$W$10:$X$10,0)),0))</f>
        <v/>
      </c>
      <c r="U27" s="116" t="str">
        <f>IF('Input-EWEMs'!$D37="", "",IFERROR(INDEX('Input-EWEMs'!$W37:$X37,MATCH("Fuel Oil #2",'Input-EWEMs'!$W$10:$X$10,0)),0))</f>
        <v/>
      </c>
      <c r="V27" s="116" t="str">
        <f>IF('Input-EWEMs'!$D37="", "",IFERROR(INDEX('Input-EWEMs'!$W37:$X37,MATCH("Fuel Oil #4",'Input-EWEMs'!$W$10:$X$10,0)),0))</f>
        <v/>
      </c>
      <c r="W27" s="116" t="str">
        <f>IF('Input-EWEMs'!$D37="", "",IFERROR(INDEX('Input-EWEMs'!$W37:$X37,MATCH("Fuel Oil #6",'Input-EWEMs'!$W$10:$X$10,0)),0))</f>
        <v/>
      </c>
      <c r="X27" s="116" t="str">
        <f>IF('Input-EWEMs'!$D37="", "",IFERROR(INDEX('Input-EWEMs'!$W37:$X37,MATCH("District Steam",'Input-EWEMs'!$W$10:$X$10,0)),0))</f>
        <v/>
      </c>
      <c r="Y27" s="116" t="str">
        <f>IF('Input-EWEMs'!$D37="", "",IFERROR(INDEX('Input-EWEMs'!$W37:$X37,MATCH("Propane",'Input-EWEMs'!$W$10:$X$10,0)),0))</f>
        <v/>
      </c>
      <c r="Z27" s="116" t="str">
        <f>IF('Input-EWEMs'!$D37="", "",'Input-EWEMs'!Y37)</f>
        <v/>
      </c>
      <c r="AA27" s="116" t="str">
        <f>IF('Input-EWEMs'!$D37="", "",IFERROR(INDEX('Input-EWEMs'!$Z37:$AA37,MATCH("Natural Gas",'Input-EWEMs'!$Z$10:$AA$10,0)),0))</f>
        <v/>
      </c>
      <c r="AB27" s="116" t="str">
        <f>IF('Input-EWEMs'!$D37="", "",IFERROR(INDEX('Input-EWEMs'!$Z37:$AA37,MATCH("Fuel Oil #2",'Input-EWEMs'!$Z$10:$AA$10,0)),0))</f>
        <v/>
      </c>
      <c r="AC27" s="116" t="str">
        <f>IF('Input-EWEMs'!$D37="", "",IFERROR(INDEX('Input-EWEMs'!$Z37:$AA37,MATCH("Fuel Oil #4",'Input-EWEMs'!$Z$10:$AA$10,0)),0))</f>
        <v/>
      </c>
      <c r="AD27" s="116" t="str">
        <f>IF('Input-EWEMs'!$D37="", "",IFERROR(INDEX('Input-EWEMs'!$Z37:$AA37,MATCH("Fuel Oil #6",'Input-EWEMs'!$Z$10:$AA$10,0)),0))</f>
        <v/>
      </c>
      <c r="AE27" s="116" t="str">
        <f>IF('Input-EWEMs'!$D37="", "",IFERROR(INDEX('Input-EWEMs'!$Z37:$AA37,MATCH("District Steam",'Input-EWEMs'!$Z$10:$AA$10,0)),0))</f>
        <v/>
      </c>
      <c r="AF27" s="116" t="str">
        <f>IF('Input-EWEMs'!$D37="", "",IFERROR(INDEX('Input-EWEMs'!$Z37:$AA37,MATCH("Propane",'Input-EWEMs'!$Z$10:$AA$10,0)),0))</f>
        <v/>
      </c>
      <c r="AG27" s="116" t="str">
        <f>IF('Input-EWEMs'!$D37="", "",SUM(S27:Y27))</f>
        <v/>
      </c>
      <c r="AH27" s="116" t="str">
        <f>IF('Input-EWEMs'!$D37="", "",SUM(Z27:AF27))</f>
        <v/>
      </c>
      <c r="AI27" s="116" t="str">
        <f>IF('Input-EWEMs'!$D37="", "",'Input-EWEMs'!AD37)</f>
        <v/>
      </c>
      <c r="AJ27" s="3" t="str">
        <f>IF('Input-EWEMs'!$D37="", "",'Input-EWEMs'!AF37)</f>
        <v/>
      </c>
      <c r="AK27" s="3" t="str">
        <f>IF('Input-EWEMs'!$D37="", "",'Input-EWEMs'!AG37)</f>
        <v/>
      </c>
      <c r="AL27" s="116" t="str">
        <f>IF('Input-EWEMs'!$D37="", "",'Input-EWEMs'!AH37)</f>
        <v/>
      </c>
      <c r="AM27" s="116" t="str">
        <f t="shared" si="1"/>
        <v/>
      </c>
      <c r="AN27" s="116" t="str">
        <f>IF('Input-EWEMs'!$D37="", "",IFERROR('Input-EWEMs'!R37*INDEX(Assumptions!$H$6:$H$22,MATCH('Input-EWEMs'!R$11,Assumptions!$C$6:$C$22,0)),0)+IFERROR('Input-EWEMs'!S37*INDEX(Assumptions!$H$6:$H$22,MATCH('Input-EWEMs'!S$11,Assumptions!$C$6:$C$22,0)),0)+IFERROR('Input-EWEMs'!T37*INDEX(Assumptions!$H$6:$H$22,MATCH('Input-EWEMs'!T$11,Assumptions!$C$6:$C$22,0)),0))</f>
        <v/>
      </c>
    </row>
    <row r="28" spans="1:40">
      <c r="A28" s="3"/>
      <c r="B28" s="116" t="str">
        <f>IF('Input-EWEMs'!D38="","",IF(COUNTIF('Input-EWEMs'!C$52:C$61,'Input-EWEMs'!C38)&lt;1,'Lender Validation'!B67,"No"))</f>
        <v/>
      </c>
      <c r="C28" s="3" t="str">
        <f>IF('Input-EWEMs'!$D38="", "", 'Input-EWEMs'!C38)</f>
        <v/>
      </c>
      <c r="D28" s="3" t="str">
        <f>IF('Input-EWEMs'!$D38="", "", 'Input-EWEMs'!D38)</f>
        <v/>
      </c>
      <c r="E28" s="3" t="str">
        <f>IF('Input-EWEMs'!$D38="", "", IFERROR(INDEX('Reference-MeasureList'!$O$47:$O$50,MATCH('Input-EWEMs'!E38,'Reference-MeasureList'!$J$47:$J$50,0)),'Input-EWEMs'!E38))</f>
        <v/>
      </c>
      <c r="F28" s="3" t="str">
        <f>IF('Input-EWEMs'!$D38="", "", 'Input-EWEMs'!F38)</f>
        <v/>
      </c>
      <c r="G28" s="3" t="str">
        <f>IF('Input-EWEMs'!$D38="", "", 'Input-EWEMs'!G38)</f>
        <v/>
      </c>
      <c r="H28" s="3" t="str">
        <f>IF('Input-EWEMs'!$H38="", "", 'Input-EWEMs'!H38)</f>
        <v/>
      </c>
      <c r="I28" s="3" t="str">
        <f>IF('Input-EWEMs'!$I38="", "", 'Input-EWEMs'!I38)</f>
        <v/>
      </c>
      <c r="J28" s="3" t="str">
        <f>IF('Input-EWEMs'!$I38="", "", I28/'DB-Properties'!$K$2)</f>
        <v/>
      </c>
      <c r="K28" s="116" t="str">
        <f>IF('Input-EWEMs'!$D38="", "",ROUND('Input-EWEMs'!K38,0))</f>
        <v/>
      </c>
      <c r="L28" s="116" t="str">
        <f>IF('Input-EWEMs'!$D38="", "",SUM(O28,R28))</f>
        <v/>
      </c>
      <c r="M28" s="116" t="str">
        <f>IF('Input-EWEMs'!$D38="", "",ROUND('Input-EWEMs'!L38,0))</f>
        <v/>
      </c>
      <c r="N28" s="116" t="str">
        <f>IF('Input-EWEMs'!$D38="", "",ROUND('Input-EWEMs'!M38,0))</f>
        <v/>
      </c>
      <c r="O28" s="116" t="str">
        <f>IF('Input-EWEMs'!$D38="", "",ROUND('Input-EWEMs'!N38,0))</f>
        <v/>
      </c>
      <c r="P28" s="116" t="str">
        <f>IF('Input-EWEMs'!$D38="", "",ROUND('Input-EWEMs'!O38,0))</f>
        <v/>
      </c>
      <c r="Q28" s="116" t="str">
        <f>IF('Input-EWEMs'!$D38="", "",ROUND('Input-EWEMs'!P38,0))</f>
        <v/>
      </c>
      <c r="R28" s="116" t="str">
        <f>IF('Input-EWEMs'!$D38="", "",ROUND('Input-EWEMs'!Q38,0))</f>
        <v/>
      </c>
      <c r="S28" s="116" t="str">
        <f>IF('Input-EWEMs'!$D38="", "",'Input-EWEMs'!V38)</f>
        <v/>
      </c>
      <c r="T28" s="116" t="str">
        <f>IF('Input-EWEMs'!$D38="", "",IFERROR(INDEX('Input-EWEMs'!$W38:$X38,MATCH("Natural Gas",'Input-EWEMs'!$W$10:$X$10,0)),0))</f>
        <v/>
      </c>
      <c r="U28" s="116" t="str">
        <f>IF('Input-EWEMs'!$D38="", "",IFERROR(INDEX('Input-EWEMs'!$W38:$X38,MATCH("Fuel Oil #2",'Input-EWEMs'!$W$10:$X$10,0)),0))</f>
        <v/>
      </c>
      <c r="V28" s="116" t="str">
        <f>IF('Input-EWEMs'!$D38="", "",IFERROR(INDEX('Input-EWEMs'!$W38:$X38,MATCH("Fuel Oil #4",'Input-EWEMs'!$W$10:$X$10,0)),0))</f>
        <v/>
      </c>
      <c r="W28" s="116" t="str">
        <f>IF('Input-EWEMs'!$D38="", "",IFERROR(INDEX('Input-EWEMs'!$W38:$X38,MATCH("Fuel Oil #6",'Input-EWEMs'!$W$10:$X$10,0)),0))</f>
        <v/>
      </c>
      <c r="X28" s="116" t="str">
        <f>IF('Input-EWEMs'!$D38="", "",IFERROR(INDEX('Input-EWEMs'!$W38:$X38,MATCH("District Steam",'Input-EWEMs'!$W$10:$X$10,0)),0))</f>
        <v/>
      </c>
      <c r="Y28" s="116" t="str">
        <f>IF('Input-EWEMs'!$D38="", "",IFERROR(INDEX('Input-EWEMs'!$W38:$X38,MATCH("Propane",'Input-EWEMs'!$W$10:$X$10,0)),0))</f>
        <v/>
      </c>
      <c r="Z28" s="116" t="str">
        <f>IF('Input-EWEMs'!$D38="", "",'Input-EWEMs'!Y38)</f>
        <v/>
      </c>
      <c r="AA28" s="116" t="str">
        <f>IF('Input-EWEMs'!$D38="", "",IFERROR(INDEX('Input-EWEMs'!$Z38:$AA38,MATCH("Natural Gas",'Input-EWEMs'!$Z$10:$AA$10,0)),0))</f>
        <v/>
      </c>
      <c r="AB28" s="116" t="str">
        <f>IF('Input-EWEMs'!$D38="", "",IFERROR(INDEX('Input-EWEMs'!$Z38:$AA38,MATCH("Fuel Oil #2",'Input-EWEMs'!$Z$10:$AA$10,0)),0))</f>
        <v/>
      </c>
      <c r="AC28" s="116" t="str">
        <f>IF('Input-EWEMs'!$D38="", "",IFERROR(INDEX('Input-EWEMs'!$Z38:$AA38,MATCH("Fuel Oil #4",'Input-EWEMs'!$Z$10:$AA$10,0)),0))</f>
        <v/>
      </c>
      <c r="AD28" s="116" t="str">
        <f>IF('Input-EWEMs'!$D38="", "",IFERROR(INDEX('Input-EWEMs'!$Z38:$AA38,MATCH("Fuel Oil #6",'Input-EWEMs'!$Z$10:$AA$10,0)),0))</f>
        <v/>
      </c>
      <c r="AE28" s="116" t="str">
        <f>IF('Input-EWEMs'!$D38="", "",IFERROR(INDEX('Input-EWEMs'!$Z38:$AA38,MATCH("District Steam",'Input-EWEMs'!$Z$10:$AA$10,0)),0))</f>
        <v/>
      </c>
      <c r="AF28" s="116" t="str">
        <f>IF('Input-EWEMs'!$D38="", "",IFERROR(INDEX('Input-EWEMs'!$Z38:$AA38,MATCH("Propane",'Input-EWEMs'!$Z$10:$AA$10,0)),0))</f>
        <v/>
      </c>
      <c r="AG28" s="116" t="str">
        <f>IF('Input-EWEMs'!$D38="", "",SUM(S28:Y28))</f>
        <v/>
      </c>
      <c r="AH28" s="116" t="str">
        <f>IF('Input-EWEMs'!$D38="", "",SUM(Z28:AF28))</f>
        <v/>
      </c>
      <c r="AI28" s="116" t="str">
        <f>IF('Input-EWEMs'!$D38="", "",'Input-EWEMs'!AD38)</f>
        <v/>
      </c>
      <c r="AJ28" s="3" t="str">
        <f>IF('Input-EWEMs'!$D38="", "",'Input-EWEMs'!AF38)</f>
        <v/>
      </c>
      <c r="AK28" s="3" t="str">
        <f>IF('Input-EWEMs'!$D38="", "",'Input-EWEMs'!AG38)</f>
        <v/>
      </c>
      <c r="AL28" s="116" t="str">
        <f>IF('Input-EWEMs'!$D38="", "",'Input-EWEMs'!AH38)</f>
        <v/>
      </c>
      <c r="AM28" s="116" t="str">
        <f t="shared" si="1"/>
        <v/>
      </c>
      <c r="AN28" s="116" t="str">
        <f>IF('Input-EWEMs'!$D38="", "",IFERROR('Input-EWEMs'!R38*INDEX(Assumptions!$H$6:$H$22,MATCH('Input-EWEMs'!R$11,Assumptions!$C$6:$C$22,0)),0)+IFERROR('Input-EWEMs'!S38*INDEX(Assumptions!$H$6:$H$22,MATCH('Input-EWEMs'!S$11,Assumptions!$C$6:$C$22,0)),0)+IFERROR('Input-EWEMs'!T38*INDEX(Assumptions!$H$6:$H$22,MATCH('Input-EWEMs'!T$11,Assumptions!$C$6:$C$22,0)),0))</f>
        <v/>
      </c>
    </row>
    <row r="29" spans="1:40">
      <c r="A29" s="3"/>
      <c r="B29" s="116" t="str">
        <f>IF('Input-EWEMs'!D39="","",IF(COUNTIF('Input-EWEMs'!C$52:C$61,'Input-EWEMs'!C39)&lt;1,'Lender Validation'!B68,"No"))</f>
        <v/>
      </c>
      <c r="C29" s="3" t="str">
        <f>IF('Input-EWEMs'!$D39="", "", 'Input-EWEMs'!C39)</f>
        <v/>
      </c>
      <c r="D29" s="3" t="str">
        <f>IF('Input-EWEMs'!$D39="", "", 'Input-EWEMs'!D39)</f>
        <v/>
      </c>
      <c r="E29" s="3" t="str">
        <f>IF('Input-EWEMs'!$D39="", "", IFERROR(INDEX('Reference-MeasureList'!$O$47:$O$50,MATCH('Input-EWEMs'!E39,'Reference-MeasureList'!$J$47:$J$50,0)),'Input-EWEMs'!E39))</f>
        <v/>
      </c>
      <c r="F29" s="3" t="str">
        <f>IF('Input-EWEMs'!$D39="", "", 'Input-EWEMs'!F39)</f>
        <v/>
      </c>
      <c r="G29" s="3" t="str">
        <f>IF('Input-EWEMs'!$D39="", "", 'Input-EWEMs'!G39)</f>
        <v/>
      </c>
      <c r="H29" s="3" t="str">
        <f>IF('Input-EWEMs'!$H39="", "", 'Input-EWEMs'!H39)</f>
        <v/>
      </c>
      <c r="I29" s="3" t="str">
        <f>IF('Input-EWEMs'!$I39="", "", 'Input-EWEMs'!I39)</f>
        <v/>
      </c>
      <c r="J29" s="3" t="str">
        <f>IF('Input-EWEMs'!$I39="", "", I29/'DB-Properties'!$K$2)</f>
        <v/>
      </c>
      <c r="K29" s="116" t="str">
        <f>IF('Input-EWEMs'!$D39="", "",ROUND('Input-EWEMs'!K39,0))</f>
        <v/>
      </c>
      <c r="L29" s="116" t="str">
        <f>IF('Input-EWEMs'!$D39="", "",SUM(O29,R29))</f>
        <v/>
      </c>
      <c r="M29" s="116" t="str">
        <f>IF('Input-EWEMs'!$D39="", "",ROUND('Input-EWEMs'!L39,0))</f>
        <v/>
      </c>
      <c r="N29" s="116" t="str">
        <f>IF('Input-EWEMs'!$D39="", "",ROUND('Input-EWEMs'!M39,0))</f>
        <v/>
      </c>
      <c r="O29" s="116" t="str">
        <f>IF('Input-EWEMs'!$D39="", "",ROUND('Input-EWEMs'!N39,0))</f>
        <v/>
      </c>
      <c r="P29" s="116" t="str">
        <f>IF('Input-EWEMs'!$D39="", "",ROUND('Input-EWEMs'!O39,0))</f>
        <v/>
      </c>
      <c r="Q29" s="116" t="str">
        <f>IF('Input-EWEMs'!$D39="", "",ROUND('Input-EWEMs'!P39,0))</f>
        <v/>
      </c>
      <c r="R29" s="116" t="str">
        <f>IF('Input-EWEMs'!$D39="", "",ROUND('Input-EWEMs'!Q39,0))</f>
        <v/>
      </c>
      <c r="S29" s="116" t="str">
        <f>IF('Input-EWEMs'!$D39="", "",'Input-EWEMs'!V39)</f>
        <v/>
      </c>
      <c r="T29" s="116" t="str">
        <f>IF('Input-EWEMs'!$D39="", "",IFERROR(INDEX('Input-EWEMs'!$W39:$X39,MATCH("Natural Gas",'Input-EWEMs'!$W$10:$X$10,0)),0))</f>
        <v/>
      </c>
      <c r="U29" s="116" t="str">
        <f>IF('Input-EWEMs'!$D39="", "",IFERROR(INDEX('Input-EWEMs'!$W39:$X39,MATCH("Fuel Oil #2",'Input-EWEMs'!$W$10:$X$10,0)),0))</f>
        <v/>
      </c>
      <c r="V29" s="116" t="str">
        <f>IF('Input-EWEMs'!$D39="", "",IFERROR(INDEX('Input-EWEMs'!$W39:$X39,MATCH("Fuel Oil #4",'Input-EWEMs'!$W$10:$X$10,0)),0))</f>
        <v/>
      </c>
      <c r="W29" s="116" t="str">
        <f>IF('Input-EWEMs'!$D39="", "",IFERROR(INDEX('Input-EWEMs'!$W39:$X39,MATCH("Fuel Oil #6",'Input-EWEMs'!$W$10:$X$10,0)),0))</f>
        <v/>
      </c>
      <c r="X29" s="116" t="str">
        <f>IF('Input-EWEMs'!$D39="", "",IFERROR(INDEX('Input-EWEMs'!$W39:$X39,MATCH("District Steam",'Input-EWEMs'!$W$10:$X$10,0)),0))</f>
        <v/>
      </c>
      <c r="Y29" s="116" t="str">
        <f>IF('Input-EWEMs'!$D39="", "",IFERROR(INDEX('Input-EWEMs'!$W39:$X39,MATCH("Propane",'Input-EWEMs'!$W$10:$X$10,0)),0))</f>
        <v/>
      </c>
      <c r="Z29" s="116" t="str">
        <f>IF('Input-EWEMs'!$D39="", "",'Input-EWEMs'!Y39)</f>
        <v/>
      </c>
      <c r="AA29" s="116" t="str">
        <f>IF('Input-EWEMs'!$D39="", "",IFERROR(INDEX('Input-EWEMs'!$Z39:$AA39,MATCH("Natural Gas",'Input-EWEMs'!$Z$10:$AA$10,0)),0))</f>
        <v/>
      </c>
      <c r="AB29" s="116" t="str">
        <f>IF('Input-EWEMs'!$D39="", "",IFERROR(INDEX('Input-EWEMs'!$Z39:$AA39,MATCH("Fuel Oil #2",'Input-EWEMs'!$Z$10:$AA$10,0)),0))</f>
        <v/>
      </c>
      <c r="AC29" s="116" t="str">
        <f>IF('Input-EWEMs'!$D39="", "",IFERROR(INDEX('Input-EWEMs'!$Z39:$AA39,MATCH("Fuel Oil #4",'Input-EWEMs'!$Z$10:$AA$10,0)),0))</f>
        <v/>
      </c>
      <c r="AD29" s="116" t="str">
        <f>IF('Input-EWEMs'!$D39="", "",IFERROR(INDEX('Input-EWEMs'!$Z39:$AA39,MATCH("Fuel Oil #6",'Input-EWEMs'!$Z$10:$AA$10,0)),0))</f>
        <v/>
      </c>
      <c r="AE29" s="116" t="str">
        <f>IF('Input-EWEMs'!$D39="", "",IFERROR(INDEX('Input-EWEMs'!$Z39:$AA39,MATCH("District Steam",'Input-EWEMs'!$Z$10:$AA$10,0)),0))</f>
        <v/>
      </c>
      <c r="AF29" s="116" t="str">
        <f>IF('Input-EWEMs'!$D39="", "",IFERROR(INDEX('Input-EWEMs'!$Z39:$AA39,MATCH("Propane",'Input-EWEMs'!$Z$10:$AA$10,0)),0))</f>
        <v/>
      </c>
      <c r="AG29" s="116" t="str">
        <f>IF('Input-EWEMs'!$D39="", "",SUM(S29:Y29))</f>
        <v/>
      </c>
      <c r="AH29" s="116" t="str">
        <f>IF('Input-EWEMs'!$D39="", "",SUM(Z29:AF29))</f>
        <v/>
      </c>
      <c r="AI29" s="116" t="str">
        <f>IF('Input-EWEMs'!$D39="", "",'Input-EWEMs'!AD39)</f>
        <v/>
      </c>
      <c r="AJ29" s="3" t="str">
        <f>IF('Input-EWEMs'!$D39="", "",'Input-EWEMs'!AF39)</f>
        <v/>
      </c>
      <c r="AK29" s="3" t="str">
        <f>IF('Input-EWEMs'!$D39="", "",'Input-EWEMs'!AG39)</f>
        <v/>
      </c>
      <c r="AL29" s="116" t="str">
        <f>IF('Input-EWEMs'!$D39="", "",'Input-EWEMs'!AH39)</f>
        <v/>
      </c>
      <c r="AM29" s="116" t="str">
        <f t="shared" si="1"/>
        <v/>
      </c>
      <c r="AN29" s="116" t="str">
        <f>IF('Input-EWEMs'!$D39="", "",IFERROR('Input-EWEMs'!R39*INDEX(Assumptions!$H$6:$H$22,MATCH('Input-EWEMs'!R$11,Assumptions!$C$6:$C$22,0)),0)+IFERROR('Input-EWEMs'!S39*INDEX(Assumptions!$H$6:$H$22,MATCH('Input-EWEMs'!S$11,Assumptions!$C$6:$C$22,0)),0)+IFERROR('Input-EWEMs'!T39*INDEX(Assumptions!$H$6:$H$22,MATCH('Input-EWEMs'!T$11,Assumptions!$C$6:$C$22,0)),0))</f>
        <v/>
      </c>
    </row>
    <row r="30" spans="1:40">
      <c r="A30" s="3"/>
      <c r="B30" s="116" t="str">
        <f>IF('Input-EWEMs'!D40="","",IF(COUNTIF('Input-EWEMs'!C$52:C$61,'Input-EWEMs'!C40)&lt;1,'Lender Validation'!B69,"No"))</f>
        <v/>
      </c>
      <c r="C30" s="3" t="str">
        <f>IF('Input-EWEMs'!$D40="", "", 'Input-EWEMs'!C40)</f>
        <v/>
      </c>
      <c r="D30" s="3" t="str">
        <f>IF('Input-EWEMs'!$D40="", "", 'Input-EWEMs'!D40)</f>
        <v/>
      </c>
      <c r="E30" s="3" t="str">
        <f>IF('Input-EWEMs'!$D40="", "", IFERROR(INDEX('Reference-MeasureList'!$O$47:$O$50,MATCH('Input-EWEMs'!E40,'Reference-MeasureList'!$J$47:$J$50,0)),'Input-EWEMs'!E40))</f>
        <v/>
      </c>
      <c r="F30" s="3" t="str">
        <f>IF('Input-EWEMs'!$D40="", "", 'Input-EWEMs'!F40)</f>
        <v/>
      </c>
      <c r="G30" s="3" t="str">
        <f>IF('Input-EWEMs'!$D40="", "", 'Input-EWEMs'!G40)</f>
        <v/>
      </c>
      <c r="H30" s="3" t="str">
        <f>IF('Input-EWEMs'!$H40="", "", 'Input-EWEMs'!H40)</f>
        <v/>
      </c>
      <c r="I30" s="3" t="str">
        <f>IF('Input-EWEMs'!$I40="", "", 'Input-EWEMs'!I40)</f>
        <v/>
      </c>
      <c r="J30" s="3" t="str">
        <f>IF('Input-EWEMs'!$I40="", "", I30/'DB-Properties'!$K$2)</f>
        <v/>
      </c>
      <c r="K30" s="116" t="str">
        <f>IF('Input-EWEMs'!$D40="", "",ROUND('Input-EWEMs'!K40,0))</f>
        <v/>
      </c>
      <c r="L30" s="116" t="str">
        <f>IF('Input-EWEMs'!$D40="", "",SUM(O30,R30))</f>
        <v/>
      </c>
      <c r="M30" s="116" t="str">
        <f>IF('Input-EWEMs'!$D40="", "",ROUND('Input-EWEMs'!L40,0))</f>
        <v/>
      </c>
      <c r="N30" s="116" t="str">
        <f>IF('Input-EWEMs'!$D40="", "",ROUND('Input-EWEMs'!M40,0))</f>
        <v/>
      </c>
      <c r="O30" s="116" t="str">
        <f>IF('Input-EWEMs'!$D40="", "",ROUND('Input-EWEMs'!N40,0))</f>
        <v/>
      </c>
      <c r="P30" s="116" t="str">
        <f>IF('Input-EWEMs'!$D40="", "",ROUND('Input-EWEMs'!O40,0))</f>
        <v/>
      </c>
      <c r="Q30" s="116" t="str">
        <f>IF('Input-EWEMs'!$D40="", "",ROUND('Input-EWEMs'!P40,0))</f>
        <v/>
      </c>
      <c r="R30" s="116" t="str">
        <f>IF('Input-EWEMs'!$D40="", "",ROUND('Input-EWEMs'!Q40,0))</f>
        <v/>
      </c>
      <c r="S30" s="116" t="str">
        <f>IF('Input-EWEMs'!$D40="", "",'Input-EWEMs'!V40)</f>
        <v/>
      </c>
      <c r="T30" s="116" t="str">
        <f>IF('Input-EWEMs'!$D40="", "",IFERROR(INDEX('Input-EWEMs'!$W40:$X40,MATCH("Natural Gas",'Input-EWEMs'!$W$10:$X$10,0)),0))</f>
        <v/>
      </c>
      <c r="U30" s="116" t="str">
        <f>IF('Input-EWEMs'!$D40="", "",IFERROR(INDEX('Input-EWEMs'!$W40:$X40,MATCH("Fuel Oil #2",'Input-EWEMs'!$W$10:$X$10,0)),0))</f>
        <v/>
      </c>
      <c r="V30" s="116" t="str">
        <f>IF('Input-EWEMs'!$D40="", "",IFERROR(INDEX('Input-EWEMs'!$W40:$X40,MATCH("Fuel Oil #4",'Input-EWEMs'!$W$10:$X$10,0)),0))</f>
        <v/>
      </c>
      <c r="W30" s="116" t="str">
        <f>IF('Input-EWEMs'!$D40="", "",IFERROR(INDEX('Input-EWEMs'!$W40:$X40,MATCH("Fuel Oil #6",'Input-EWEMs'!$W$10:$X$10,0)),0))</f>
        <v/>
      </c>
      <c r="X30" s="116" t="str">
        <f>IF('Input-EWEMs'!$D40="", "",IFERROR(INDEX('Input-EWEMs'!$W40:$X40,MATCH("District Steam",'Input-EWEMs'!$W$10:$X$10,0)),0))</f>
        <v/>
      </c>
      <c r="Y30" s="116" t="str">
        <f>IF('Input-EWEMs'!$D40="", "",IFERROR(INDEX('Input-EWEMs'!$W40:$X40,MATCH("Propane",'Input-EWEMs'!$W$10:$X$10,0)),0))</f>
        <v/>
      </c>
      <c r="Z30" s="116" t="str">
        <f>IF('Input-EWEMs'!$D40="", "",'Input-EWEMs'!Y40)</f>
        <v/>
      </c>
      <c r="AA30" s="116" t="str">
        <f>IF('Input-EWEMs'!$D40="", "",IFERROR(INDEX('Input-EWEMs'!$Z40:$AA40,MATCH("Natural Gas",'Input-EWEMs'!$Z$10:$AA$10,0)),0))</f>
        <v/>
      </c>
      <c r="AB30" s="116" t="str">
        <f>IF('Input-EWEMs'!$D40="", "",IFERROR(INDEX('Input-EWEMs'!$Z40:$AA40,MATCH("Fuel Oil #2",'Input-EWEMs'!$Z$10:$AA$10,0)),0))</f>
        <v/>
      </c>
      <c r="AC30" s="116" t="str">
        <f>IF('Input-EWEMs'!$D40="", "",IFERROR(INDEX('Input-EWEMs'!$Z40:$AA40,MATCH("Fuel Oil #4",'Input-EWEMs'!$Z$10:$AA$10,0)),0))</f>
        <v/>
      </c>
      <c r="AD30" s="116" t="str">
        <f>IF('Input-EWEMs'!$D40="", "",IFERROR(INDEX('Input-EWEMs'!$Z40:$AA40,MATCH("Fuel Oil #6",'Input-EWEMs'!$Z$10:$AA$10,0)),0))</f>
        <v/>
      </c>
      <c r="AE30" s="116" t="str">
        <f>IF('Input-EWEMs'!$D40="", "",IFERROR(INDEX('Input-EWEMs'!$Z40:$AA40,MATCH("District Steam",'Input-EWEMs'!$Z$10:$AA$10,0)),0))</f>
        <v/>
      </c>
      <c r="AF30" s="116" t="str">
        <f>IF('Input-EWEMs'!$D40="", "",IFERROR(INDEX('Input-EWEMs'!$Z40:$AA40,MATCH("Propane",'Input-EWEMs'!$Z$10:$AA$10,0)),0))</f>
        <v/>
      </c>
      <c r="AG30" s="116" t="str">
        <f>IF('Input-EWEMs'!$D40="", "",SUM(S30:Y30))</f>
        <v/>
      </c>
      <c r="AH30" s="116" t="str">
        <f>IF('Input-EWEMs'!$D40="", "",SUM(Z30:AF30))</f>
        <v/>
      </c>
      <c r="AI30" s="116" t="str">
        <f>IF('Input-EWEMs'!$D40="", "",'Input-EWEMs'!AD40)</f>
        <v/>
      </c>
      <c r="AJ30" s="3" t="str">
        <f>IF('Input-EWEMs'!$D40="", "",'Input-EWEMs'!AF40)</f>
        <v/>
      </c>
      <c r="AK30" s="3" t="str">
        <f>IF('Input-EWEMs'!$D40="", "",'Input-EWEMs'!AG40)</f>
        <v/>
      </c>
      <c r="AL30" s="116" t="str">
        <f>IF('Input-EWEMs'!$D40="", "",'Input-EWEMs'!AH40)</f>
        <v/>
      </c>
      <c r="AM30" s="116" t="str">
        <f t="shared" si="1"/>
        <v/>
      </c>
      <c r="AN30" s="116" t="str">
        <f>IF('Input-EWEMs'!$D40="", "",IFERROR('Input-EWEMs'!R40*INDEX(Assumptions!$H$6:$H$22,MATCH('Input-EWEMs'!R$11,Assumptions!$C$6:$C$22,0)),0)+IFERROR('Input-EWEMs'!S40*INDEX(Assumptions!$H$6:$H$22,MATCH('Input-EWEMs'!S$11,Assumptions!$C$6:$C$22,0)),0)+IFERROR('Input-EWEMs'!T40*INDEX(Assumptions!$H$6:$H$22,MATCH('Input-EWEMs'!T$11,Assumptions!$C$6:$C$22,0)),0))</f>
        <v/>
      </c>
    </row>
    <row r="31" spans="1:40">
      <c r="A31" s="3"/>
      <c r="B31" s="116" t="str">
        <f>IF('Input-EWEMs'!D41="","",IF(COUNTIF('Input-EWEMs'!C$52:C$61,'Input-EWEMs'!C41)&lt;1,'Lender Validation'!B70,"No"))</f>
        <v/>
      </c>
      <c r="C31" s="3" t="str">
        <f>IF('Input-EWEMs'!$D41="", "", 'Input-EWEMs'!C41)</f>
        <v/>
      </c>
      <c r="D31" s="3" t="str">
        <f>IF('Input-EWEMs'!$D41="", "", 'Input-EWEMs'!D41)</f>
        <v/>
      </c>
      <c r="E31" s="3" t="str">
        <f>IF('Input-EWEMs'!$D41="", "", IFERROR(INDEX('Reference-MeasureList'!$O$47:$O$50,MATCH('Input-EWEMs'!E41,'Reference-MeasureList'!$J$47:$J$50,0)),'Input-EWEMs'!E41))</f>
        <v/>
      </c>
      <c r="F31" s="3" t="str">
        <f>IF('Input-EWEMs'!$D41="", "", 'Input-EWEMs'!F41)</f>
        <v/>
      </c>
      <c r="G31" s="3" t="str">
        <f>IF('Input-EWEMs'!$D41="", "", 'Input-EWEMs'!G41)</f>
        <v/>
      </c>
      <c r="H31" s="3" t="str">
        <f>IF('Input-EWEMs'!$H41="", "", 'Input-EWEMs'!H41)</f>
        <v/>
      </c>
      <c r="I31" s="3" t="str">
        <f>IF('Input-EWEMs'!$I41="", "", 'Input-EWEMs'!I41)</f>
        <v/>
      </c>
      <c r="J31" s="3" t="str">
        <f>IF('Input-EWEMs'!$I41="", "", I31/'DB-Properties'!$K$2)</f>
        <v/>
      </c>
      <c r="K31" s="116" t="str">
        <f>IF('Input-EWEMs'!$D41="", "",ROUND('Input-EWEMs'!K41,0))</f>
        <v/>
      </c>
      <c r="L31" s="116" t="str">
        <f>IF('Input-EWEMs'!$D41="", "",SUM(O31,R31))</f>
        <v/>
      </c>
      <c r="M31" s="116" t="str">
        <f>IF('Input-EWEMs'!$D41="", "",ROUND('Input-EWEMs'!L41,0))</f>
        <v/>
      </c>
      <c r="N31" s="116" t="str">
        <f>IF('Input-EWEMs'!$D41="", "",ROUND('Input-EWEMs'!M41,0))</f>
        <v/>
      </c>
      <c r="O31" s="116" t="str">
        <f>IF('Input-EWEMs'!$D41="", "",ROUND('Input-EWEMs'!N41,0))</f>
        <v/>
      </c>
      <c r="P31" s="116" t="str">
        <f>IF('Input-EWEMs'!$D41="", "",ROUND('Input-EWEMs'!O41,0))</f>
        <v/>
      </c>
      <c r="Q31" s="116" t="str">
        <f>IF('Input-EWEMs'!$D41="", "",ROUND('Input-EWEMs'!P41,0))</f>
        <v/>
      </c>
      <c r="R31" s="116" t="str">
        <f>IF('Input-EWEMs'!$D41="", "",ROUND('Input-EWEMs'!Q41,0))</f>
        <v/>
      </c>
      <c r="S31" s="116" t="str">
        <f>IF('Input-EWEMs'!$D41="", "",'Input-EWEMs'!V41)</f>
        <v/>
      </c>
      <c r="T31" s="116" t="str">
        <f>IF('Input-EWEMs'!$D41="", "",IFERROR(INDEX('Input-EWEMs'!$W41:$X41,MATCH("Natural Gas",'Input-EWEMs'!$W$10:$X$10,0)),0))</f>
        <v/>
      </c>
      <c r="U31" s="116" t="str">
        <f>IF('Input-EWEMs'!$D41="", "",IFERROR(INDEX('Input-EWEMs'!$W41:$X41,MATCH("Fuel Oil #2",'Input-EWEMs'!$W$10:$X$10,0)),0))</f>
        <v/>
      </c>
      <c r="V31" s="116" t="str">
        <f>IF('Input-EWEMs'!$D41="", "",IFERROR(INDEX('Input-EWEMs'!$W41:$X41,MATCH("Fuel Oil #4",'Input-EWEMs'!$W$10:$X$10,0)),0))</f>
        <v/>
      </c>
      <c r="W31" s="116" t="str">
        <f>IF('Input-EWEMs'!$D41="", "",IFERROR(INDEX('Input-EWEMs'!$W41:$X41,MATCH("Fuel Oil #6",'Input-EWEMs'!$W$10:$X$10,0)),0))</f>
        <v/>
      </c>
      <c r="X31" s="116" t="str">
        <f>IF('Input-EWEMs'!$D41="", "",IFERROR(INDEX('Input-EWEMs'!$W41:$X41,MATCH("District Steam",'Input-EWEMs'!$W$10:$X$10,0)),0))</f>
        <v/>
      </c>
      <c r="Y31" s="116" t="str">
        <f>IF('Input-EWEMs'!$D41="", "",IFERROR(INDEX('Input-EWEMs'!$W41:$X41,MATCH("Propane",'Input-EWEMs'!$W$10:$X$10,0)),0))</f>
        <v/>
      </c>
      <c r="Z31" s="116" t="str">
        <f>IF('Input-EWEMs'!$D41="", "",'Input-EWEMs'!Y41)</f>
        <v/>
      </c>
      <c r="AA31" s="116" t="str">
        <f>IF('Input-EWEMs'!$D41="", "",IFERROR(INDEX('Input-EWEMs'!$Z41:$AA41,MATCH("Natural Gas",'Input-EWEMs'!$Z$10:$AA$10,0)),0))</f>
        <v/>
      </c>
      <c r="AB31" s="116" t="str">
        <f>IF('Input-EWEMs'!$D41="", "",IFERROR(INDEX('Input-EWEMs'!$Z41:$AA41,MATCH("Fuel Oil #2",'Input-EWEMs'!$Z$10:$AA$10,0)),0))</f>
        <v/>
      </c>
      <c r="AC31" s="116" t="str">
        <f>IF('Input-EWEMs'!$D41="", "",IFERROR(INDEX('Input-EWEMs'!$Z41:$AA41,MATCH("Fuel Oil #4",'Input-EWEMs'!$Z$10:$AA$10,0)),0))</f>
        <v/>
      </c>
      <c r="AD31" s="116" t="str">
        <f>IF('Input-EWEMs'!$D41="", "",IFERROR(INDEX('Input-EWEMs'!$Z41:$AA41,MATCH("Fuel Oil #6",'Input-EWEMs'!$Z$10:$AA$10,0)),0))</f>
        <v/>
      </c>
      <c r="AE31" s="116" t="str">
        <f>IF('Input-EWEMs'!$D41="", "",IFERROR(INDEX('Input-EWEMs'!$Z41:$AA41,MATCH("District Steam",'Input-EWEMs'!$Z$10:$AA$10,0)),0))</f>
        <v/>
      </c>
      <c r="AF31" s="116" t="str">
        <f>IF('Input-EWEMs'!$D41="", "",IFERROR(INDEX('Input-EWEMs'!$Z41:$AA41,MATCH("Propane",'Input-EWEMs'!$Z$10:$AA$10,0)),0))</f>
        <v/>
      </c>
      <c r="AG31" s="116" t="str">
        <f>IF('Input-EWEMs'!$D41="", "",SUM(S31:Y31))</f>
        <v/>
      </c>
      <c r="AH31" s="116" t="str">
        <f>IF('Input-EWEMs'!$D41="", "",SUM(Z31:AF31))</f>
        <v/>
      </c>
      <c r="AI31" s="116" t="str">
        <f>IF('Input-EWEMs'!$D41="", "",'Input-EWEMs'!AD41)</f>
        <v/>
      </c>
      <c r="AJ31" s="3" t="str">
        <f>IF('Input-EWEMs'!$D41="", "",'Input-EWEMs'!AF41)</f>
        <v/>
      </c>
      <c r="AK31" s="3" t="str">
        <f>IF('Input-EWEMs'!$D41="", "",'Input-EWEMs'!AG41)</f>
        <v/>
      </c>
      <c r="AL31" s="116" t="str">
        <f>IF('Input-EWEMs'!$D41="", "",'Input-EWEMs'!AH41)</f>
        <v/>
      </c>
      <c r="AM31" s="116" t="str">
        <f t="shared" si="1"/>
        <v/>
      </c>
      <c r="AN31" s="116" t="str">
        <f>IF('Input-EWEMs'!$D41="", "",IFERROR('Input-EWEMs'!R41*INDEX(Assumptions!$H$6:$H$22,MATCH('Input-EWEMs'!R$11,Assumptions!$C$6:$C$22,0)),0)+IFERROR('Input-EWEMs'!S41*INDEX(Assumptions!$H$6:$H$22,MATCH('Input-EWEMs'!S$11,Assumptions!$C$6:$C$22,0)),0)+IFERROR('Input-EWEMs'!T41*INDEX(Assumptions!$H$6:$H$22,MATCH('Input-EWEMs'!T$11,Assumptions!$C$6:$C$22,0)),0))</f>
        <v/>
      </c>
    </row>
  </sheetData>
  <pageMargins left="0.7" right="0.7" top="0.75" bottom="0.75" header="0.3" footer="0.3"/>
  <pageSetup orientation="portrait"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N13"/>
  <sheetViews>
    <sheetView workbookViewId="0">
      <selection activeCell="C2" sqref="C2"/>
    </sheetView>
  </sheetViews>
  <sheetFormatPr defaultRowHeight="15"/>
  <cols>
    <col min="1" max="1" width="7.7109375" customWidth="1"/>
    <col min="5" max="5" width="39.42578125" customWidth="1"/>
    <col min="19" max="24" width="23.5703125" customWidth="1"/>
    <col min="25" max="31" width="20.7109375" customWidth="1"/>
    <col min="32" max="32" width="21.5703125" customWidth="1"/>
    <col min="33" max="33" width="14" customWidth="1"/>
    <col min="34" max="34" width="11" customWidth="1"/>
  </cols>
  <sheetData>
    <row r="1" spans="1:40">
      <c r="A1" s="114" t="s">
        <v>387</v>
      </c>
      <c r="B1" s="113" t="s">
        <v>361</v>
      </c>
      <c r="C1" s="114" t="s">
        <v>209</v>
      </c>
      <c r="D1" s="114" t="s">
        <v>210</v>
      </c>
      <c r="E1" s="114" t="s">
        <v>212</v>
      </c>
      <c r="F1" s="114" t="s">
        <v>211</v>
      </c>
      <c r="G1" s="114" t="s">
        <v>472</v>
      </c>
      <c r="H1" s="114" t="s">
        <v>213</v>
      </c>
      <c r="I1" s="114" t="s">
        <v>416</v>
      </c>
      <c r="J1" s="113" t="s">
        <v>417</v>
      </c>
      <c r="K1" s="114" t="s">
        <v>214</v>
      </c>
      <c r="L1" s="114" t="s">
        <v>215</v>
      </c>
      <c r="M1" s="113" t="s">
        <v>571</v>
      </c>
      <c r="N1" s="114" t="s">
        <v>572</v>
      </c>
      <c r="O1" s="114" t="s">
        <v>216</v>
      </c>
      <c r="P1" s="113" t="s">
        <v>574</v>
      </c>
      <c r="Q1" s="114" t="s">
        <v>573</v>
      </c>
      <c r="R1" s="114" t="s">
        <v>217</v>
      </c>
      <c r="S1" s="113" t="s">
        <v>580</v>
      </c>
      <c r="T1" s="113" t="s">
        <v>705</v>
      </c>
      <c r="U1" s="113" t="s">
        <v>725</v>
      </c>
      <c r="V1" s="113" t="s">
        <v>726</v>
      </c>
      <c r="W1" s="113" t="s">
        <v>727</v>
      </c>
      <c r="X1" s="113" t="s">
        <v>706</v>
      </c>
      <c r="Y1" s="113" t="s">
        <v>707</v>
      </c>
      <c r="Z1" s="113" t="s">
        <v>579</v>
      </c>
      <c r="AA1" s="113" t="s">
        <v>708</v>
      </c>
      <c r="AB1" s="113" t="s">
        <v>728</v>
      </c>
      <c r="AC1" s="113" t="s">
        <v>729</v>
      </c>
      <c r="AD1" s="113" t="s">
        <v>730</v>
      </c>
      <c r="AE1" s="113" t="s">
        <v>709</v>
      </c>
      <c r="AF1" s="113" t="s">
        <v>710</v>
      </c>
      <c r="AG1" s="113" t="s">
        <v>737</v>
      </c>
      <c r="AH1" s="113" t="s">
        <v>736</v>
      </c>
      <c r="AI1" s="113" t="s">
        <v>576</v>
      </c>
      <c r="AJ1" s="114" t="s">
        <v>218</v>
      </c>
      <c r="AK1" s="114" t="s">
        <v>219</v>
      </c>
      <c r="AL1" s="113" t="s">
        <v>508</v>
      </c>
      <c r="AM1" s="114" t="s">
        <v>575</v>
      </c>
      <c r="AN1" s="114" t="s">
        <v>738</v>
      </c>
    </row>
    <row r="2" spans="1:40">
      <c r="A2" s="3"/>
      <c r="B2" s="116" t="str">
        <f>IF('Input-EWEMs'!$D52="", "",INDEX('Lender Validation'!$B$41:$B$70, MATCH($C2, 'Lender Validation'!$C$41:$C$70, 0)))</f>
        <v/>
      </c>
      <c r="C2" s="3" t="str">
        <f>IF('Input-EWEMs'!$D52="", "", 'Input-EWEMs'!C52)</f>
        <v/>
      </c>
      <c r="D2" s="3" t="str">
        <f>IF('Input-EWEMs'!$D52="", "", 'Input-EWEMs'!D52)</f>
        <v/>
      </c>
      <c r="E2" s="3" t="str">
        <f>IF('Input-EWEMs'!$D52="", "", IFERROR(INDEX('Reference-MeasureList'!$O$47:$O$50,MATCH('Input-EWEMs'!E52,'Reference-MeasureList'!$J$47:$J$50,0)),'Input-EWEMs'!E52))</f>
        <v/>
      </c>
      <c r="F2" s="3" t="str">
        <f>IF('Input-EWEMs'!$D52="", "", 'Input-EWEMs'!F52)</f>
        <v/>
      </c>
      <c r="G2" s="3" t="str">
        <f>IF('Input-EWEMs'!$D52="", "", 'Input-EWEMs'!G52)</f>
        <v/>
      </c>
      <c r="H2" s="3" t="str">
        <f>IF('Input-EWEMs'!$H52="", "", 'Input-EWEMs'!H52)</f>
        <v/>
      </c>
      <c r="I2" s="3" t="str">
        <f>IF('Input-EWEMs'!$I52="", "", 'Input-EWEMs'!I52)</f>
        <v/>
      </c>
      <c r="J2" s="3" t="str">
        <f>IF('Input-EWEMs'!$I52="", "", I2/'DB-Properties'!$K$2)</f>
        <v/>
      </c>
      <c r="K2" s="116" t="str">
        <f>IF('Input-EWEMs'!$D52="", "",ROUND('Input-EWEMs'!K52,0))</f>
        <v/>
      </c>
      <c r="L2" s="116" t="str">
        <f>IF('Input-EWEMs'!$D52="", "",SUM(O2,R2))</f>
        <v/>
      </c>
      <c r="M2" s="116" t="str">
        <f>IF('Input-EWEMs'!$D52="", "",ROUND('Input-EWEMs'!L52,0))</f>
        <v/>
      </c>
      <c r="N2" s="116" t="str">
        <f>IF('Input-EWEMs'!$D52="", "",ROUND('Input-EWEMs'!M52,0))</f>
        <v/>
      </c>
      <c r="O2" s="116" t="str">
        <f>IF('Input-EWEMs'!$D52="", "",ROUND('Input-EWEMs'!N52,0))</f>
        <v/>
      </c>
      <c r="P2" s="116" t="str">
        <f>IF('Input-EWEMs'!$D52="", "",ROUND('Input-EWEMs'!O52,0))</f>
        <v/>
      </c>
      <c r="Q2" s="116" t="str">
        <f>IF('Input-EWEMs'!$D52="", "",ROUND('Input-EWEMs'!P52,0))</f>
        <v/>
      </c>
      <c r="R2" s="116" t="str">
        <f>IF('Input-EWEMs'!$D52="", "",ROUND('Input-EWEMs'!Q52,0))</f>
        <v/>
      </c>
      <c r="S2" s="116" t="str">
        <f>IF('Input-EWEMs'!$D52="", "",'Input-EWEMs'!V52)</f>
        <v/>
      </c>
      <c r="T2" s="116" t="str">
        <f>IF('Input-EWEMs'!$D52="", "",IFERROR(INDEX('Input-EWEMs'!$W52:$X52,MATCH("Natural Gas",'Input-EWEMs'!$W$10:$X$10,0)),0))</f>
        <v/>
      </c>
      <c r="U2" s="116" t="str">
        <f>IF('Input-EWEMs'!$D52="", "",IFERROR(INDEX('Input-EWEMs'!$W52:$X52,MATCH("Fuel Oil #2",'Input-EWEMs'!$W$10:$X$10,0)),0))</f>
        <v/>
      </c>
      <c r="V2" s="116" t="str">
        <f>IF('Input-EWEMs'!$D52="", "",IFERROR(INDEX('Input-EWEMs'!$W52:$X52,MATCH("Fuel Oil #4",'Input-EWEMs'!$W$10:$X$10,0)),0))</f>
        <v/>
      </c>
      <c r="W2" s="116" t="str">
        <f>IF('Input-EWEMs'!$D52="", "",IFERROR(INDEX('Input-EWEMs'!$W52:$X52,MATCH("Fuel Oil #6",'Input-EWEMs'!$W$10:$X$10,0)),0))</f>
        <v/>
      </c>
      <c r="X2" s="116" t="str">
        <f>IF('Input-EWEMs'!$D52="", "",IFERROR(INDEX('Input-EWEMs'!$W52:$X52,MATCH("District Steam",'Input-EWEMs'!$W$10:$X$10,0)),0))</f>
        <v/>
      </c>
      <c r="Y2" s="116" t="str">
        <f>IF('Input-EWEMs'!$D52="", "",IFERROR(INDEX('Input-EWEMs'!$W52:$X52,MATCH("Propane",'Input-EWEMs'!$W$10:$X$10,0)),0))</f>
        <v/>
      </c>
      <c r="Z2" s="116" t="str">
        <f>IF('Input-EWEMs'!$D52="", "",'Input-EWEMs'!Y52)</f>
        <v/>
      </c>
      <c r="AA2" s="116" t="str">
        <f>IF('Input-EWEMs'!$D52="", "",IFERROR(INDEX('Input-EWEMs'!$Z52:$AA52,MATCH("Natural Gas",'Input-EWEMs'!$Z$10:$AA$10,0)),0))</f>
        <v/>
      </c>
      <c r="AB2" s="116" t="str">
        <f>IF('Input-EWEMs'!$D52="", "",IFERROR(INDEX('Input-EWEMs'!$Z52:$AA52,MATCH("Fuel Oil #2",'Input-EWEMs'!$Z$10:$AA$10,0)),0))</f>
        <v/>
      </c>
      <c r="AC2" s="116" t="str">
        <f>IF('Input-EWEMs'!$D52="", "",IFERROR(INDEX('Input-EWEMs'!$Z52:$AA52,MATCH("Fuel Oil #4",'Input-EWEMs'!$Z$10:$AA$10,0)),0))</f>
        <v/>
      </c>
      <c r="AD2" s="116" t="str">
        <f>IF('Input-EWEMs'!$D52="", "",IFERROR(INDEX('Input-EWEMs'!$Z52:$AA52,MATCH("Fuel Oil #6",'Input-EWEMs'!$Z$10:$AA$10,0)),0))</f>
        <v/>
      </c>
      <c r="AE2" s="116" t="str">
        <f>IF('Input-EWEMs'!$D52="", "",IFERROR(INDEX('Input-EWEMs'!$Z52:$AA52,MATCH("District Steam",'Input-EWEMs'!$Z$10:$AA$10,0)),0))</f>
        <v/>
      </c>
      <c r="AF2" s="116" t="str">
        <f>IF('Input-EWEMs'!$D52="", "",IFERROR(INDEX('Input-EWEMs'!$Z52:$AA52,MATCH("Propane",'Input-EWEMs'!$Z$10:$AA$10,0)),0))</f>
        <v/>
      </c>
      <c r="AG2" s="116" t="str">
        <f>IF('Input-EWEMs'!$D52="", "",SUM(S2:Y2))</f>
        <v/>
      </c>
      <c r="AH2" s="116" t="str">
        <f>IF('Input-EWEMs'!$D52="", "",SUM(Z2:AF2))</f>
        <v/>
      </c>
      <c r="AI2" s="116" t="str">
        <f>IF('Input-EWEMs'!$D52="", "",'Input-EWEMs'!AD52)</f>
        <v/>
      </c>
      <c r="AJ2" s="3" t="str">
        <f>IF('Input-EWEMs'!$D52="", "",'Input-EWEMs'!AF52)</f>
        <v/>
      </c>
      <c r="AK2" s="3" t="str">
        <f>IF('Input-EWEMs'!$D52="", "",'Input-EWEMs'!AG52)</f>
        <v/>
      </c>
      <c r="AL2" s="3" t="str">
        <f>IF('Input-EWEMs'!$D52="", "",'Input-EWEMs'!AH52)</f>
        <v/>
      </c>
      <c r="AM2" s="3" t="str">
        <f t="shared" ref="AM2:AM11" si="0">IFERROR(L2*AL2,"")</f>
        <v/>
      </c>
      <c r="AN2" s="3" t="str">
        <f>IF('Input-EWEMs'!$D52="", "",IFERROR('Input-EWEMs'!R52*INDEX(Assumptions!$H$6:$H$22,MATCH('Input-EWEMs'!R$11,Assumptions!$C$6:$C$22,0)),0)+IFERROR('Input-EWEMs'!S52*INDEX(Assumptions!$H$6:$H$22,MATCH('Input-EWEMs'!S$11,Assumptions!$C$6:$C$22,0)),0)+IFERROR('Input-EWEMs'!T52*INDEX(Assumptions!$H$6:$H$22,MATCH('Input-EWEMs'!T$11,Assumptions!$C$6:$C$22,0)),0))</f>
        <v/>
      </c>
    </row>
    <row r="3" spans="1:40">
      <c r="A3" s="3"/>
      <c r="B3" s="116" t="str">
        <f>IF('Input-EWEMs'!$D53="", "",INDEX('Lender Validation'!$B$41:$B$70, MATCH($C3, 'Lender Validation'!$C$41:$C$70, 0)))</f>
        <v/>
      </c>
      <c r="C3" s="3" t="str">
        <f>IF('Input-EWEMs'!$D53="", "", 'Input-EWEMs'!C53)</f>
        <v/>
      </c>
      <c r="D3" s="3" t="str">
        <f>IF('Input-EWEMs'!$D53="", "", 'Input-EWEMs'!D53)</f>
        <v/>
      </c>
      <c r="E3" s="3" t="str">
        <f>IF('Input-EWEMs'!$D53="", "", IFERROR(INDEX('Reference-MeasureList'!$O$47:$O$50,MATCH('Input-EWEMs'!E53,'Reference-MeasureList'!$J$47:$J$50,0)),'Input-EWEMs'!E53))</f>
        <v/>
      </c>
      <c r="F3" s="3" t="str">
        <f>IF('Input-EWEMs'!$D53="", "", 'Input-EWEMs'!F53)</f>
        <v/>
      </c>
      <c r="G3" s="3" t="str">
        <f>IF('Input-EWEMs'!$D53="", "", 'Input-EWEMs'!G53)</f>
        <v/>
      </c>
      <c r="H3" s="3" t="str">
        <f>IF('Input-EWEMs'!$H53="", "", 'Input-EWEMs'!H53)</f>
        <v/>
      </c>
      <c r="I3" s="3" t="str">
        <f>IF('Input-EWEMs'!$I53="", "", 'Input-EWEMs'!I53)</f>
        <v/>
      </c>
      <c r="J3" s="3" t="str">
        <f>IF('Input-EWEMs'!$I53="", "", I3/'DB-Properties'!$K$2)</f>
        <v/>
      </c>
      <c r="K3" s="116" t="str">
        <f>IF('Input-EWEMs'!$D53="", "",ROUND('Input-EWEMs'!K53,0))</f>
        <v/>
      </c>
      <c r="L3" s="116" t="str">
        <f>IF('Input-EWEMs'!$D53="", "",SUM(O3,R3))</f>
        <v/>
      </c>
      <c r="M3" s="116" t="str">
        <f>IF('Input-EWEMs'!$D53="", "",ROUND('Input-EWEMs'!L53,0))</f>
        <v/>
      </c>
      <c r="N3" s="116" t="str">
        <f>IF('Input-EWEMs'!$D53="", "",ROUND('Input-EWEMs'!M53,0))</f>
        <v/>
      </c>
      <c r="O3" s="116" t="str">
        <f>IF('Input-EWEMs'!$D53="", "",ROUND('Input-EWEMs'!N53,0))</f>
        <v/>
      </c>
      <c r="P3" s="116" t="str">
        <f>IF('Input-EWEMs'!$D53="", "",ROUND('Input-EWEMs'!O53,0))</f>
        <v/>
      </c>
      <c r="Q3" s="116" t="str">
        <f>IF('Input-EWEMs'!$D53="", "",ROUND('Input-EWEMs'!P53,0))</f>
        <v/>
      </c>
      <c r="R3" s="116" t="str">
        <f>IF('Input-EWEMs'!$D53="", "",ROUND('Input-EWEMs'!Q53,0))</f>
        <v/>
      </c>
      <c r="S3" s="116" t="str">
        <f>IF('Input-EWEMs'!$D53="", "",'Input-EWEMs'!V53)</f>
        <v/>
      </c>
      <c r="T3" s="116" t="str">
        <f>IF('Input-EWEMs'!$D53="", "",IFERROR(INDEX('Input-EWEMs'!$W53:$X53,MATCH("Natural Gas",'Input-EWEMs'!$W$10:$X$10,0)),0))</f>
        <v/>
      </c>
      <c r="U3" s="116" t="str">
        <f>IF('Input-EWEMs'!$D53="", "",IFERROR(INDEX('Input-EWEMs'!$W53:$X53,MATCH("Fuel Oil #2",'Input-EWEMs'!$W$10:$X$10,0)),0))</f>
        <v/>
      </c>
      <c r="V3" s="116" t="str">
        <f>IF('Input-EWEMs'!$D53="", "",IFERROR(INDEX('Input-EWEMs'!$W53:$X53,MATCH("Fuel Oil #4",'Input-EWEMs'!$W$10:$X$10,0)),0))</f>
        <v/>
      </c>
      <c r="W3" s="116" t="str">
        <f>IF('Input-EWEMs'!$D53="", "",IFERROR(INDEX('Input-EWEMs'!$W53:$X53,MATCH("Fuel Oil #6",'Input-EWEMs'!$W$10:$X$10,0)),0))</f>
        <v/>
      </c>
      <c r="X3" s="116" t="str">
        <f>IF('Input-EWEMs'!$D53="", "",IFERROR(INDEX('Input-EWEMs'!$W53:$X53,MATCH("District Steam",'Input-EWEMs'!$W$10:$X$10,0)),0))</f>
        <v/>
      </c>
      <c r="Y3" s="116" t="str">
        <f>IF('Input-EWEMs'!$D53="", "",IFERROR(INDEX('Input-EWEMs'!$W53:$X53,MATCH("Propane",'Input-EWEMs'!$W$10:$X$10,0)),0))</f>
        <v/>
      </c>
      <c r="Z3" s="116" t="str">
        <f>IF('Input-EWEMs'!$D53="", "",'Input-EWEMs'!Y53)</f>
        <v/>
      </c>
      <c r="AA3" s="116" t="str">
        <f>IF('Input-EWEMs'!$D53="", "",IFERROR(INDEX('Input-EWEMs'!$Z53:$AA53,MATCH("Natural Gas",'Input-EWEMs'!$Z$10:$AA$10,0)),0))</f>
        <v/>
      </c>
      <c r="AB3" s="116" t="str">
        <f>IF('Input-EWEMs'!$D53="", "",IFERROR(INDEX('Input-EWEMs'!$Z53:$AA53,MATCH("Fuel Oil #2",'Input-EWEMs'!$Z$10:$AA$10,0)),0))</f>
        <v/>
      </c>
      <c r="AC3" s="116" t="str">
        <f>IF('Input-EWEMs'!$D53="", "",IFERROR(INDEX('Input-EWEMs'!$Z53:$AA53,MATCH("Fuel Oil #4",'Input-EWEMs'!$Z$10:$AA$10,0)),0))</f>
        <v/>
      </c>
      <c r="AD3" s="116" t="str">
        <f>IF('Input-EWEMs'!$D53="", "",IFERROR(INDEX('Input-EWEMs'!$Z53:$AA53,MATCH("Fuel Oil #6",'Input-EWEMs'!$Z$10:$AA$10,0)),0))</f>
        <v/>
      </c>
      <c r="AE3" s="116" t="str">
        <f>IF('Input-EWEMs'!$D53="", "",IFERROR(INDEX('Input-EWEMs'!$Z53:$AA53,MATCH("District Steam",'Input-EWEMs'!$Z$10:$AA$10,0)),0))</f>
        <v/>
      </c>
      <c r="AF3" s="116" t="str">
        <f>IF('Input-EWEMs'!$D53="", "",IFERROR(INDEX('Input-EWEMs'!$Z53:$AA53,MATCH("Propane",'Input-EWEMs'!$Z$10:$AA$10,0)),0))</f>
        <v/>
      </c>
      <c r="AG3" s="116" t="str">
        <f>IF('Input-EWEMs'!$D53="", "",SUM(S3:Y3))</f>
        <v/>
      </c>
      <c r="AH3" s="116" t="str">
        <f>IF('Input-EWEMs'!$D53="", "",SUM(Z3:AF3))</f>
        <v/>
      </c>
      <c r="AI3" s="116" t="str">
        <f>IF('Input-EWEMs'!$D53="", "",'Input-EWEMs'!AD53)</f>
        <v/>
      </c>
      <c r="AJ3" s="3" t="str">
        <f>IF('Input-EWEMs'!$D53="", "",'Input-EWEMs'!AF53)</f>
        <v/>
      </c>
      <c r="AK3" s="3" t="str">
        <f>IF('Input-EWEMs'!$D53="", "",'Input-EWEMs'!AG53)</f>
        <v/>
      </c>
      <c r="AL3" s="3" t="str">
        <f>IF('Input-EWEMs'!$D53="", "",'Input-EWEMs'!AH53)</f>
        <v/>
      </c>
      <c r="AM3" s="3" t="str">
        <f t="shared" si="0"/>
        <v/>
      </c>
      <c r="AN3" s="3" t="str">
        <f>IF('Input-EWEMs'!$D53="", "",IFERROR('Input-EWEMs'!R53*INDEX(Assumptions!$H$6:$H$22,MATCH('Input-EWEMs'!R$11,Assumptions!$C$6:$C$22,0)),0)+IFERROR('Input-EWEMs'!S53*INDEX(Assumptions!$H$6:$H$22,MATCH('Input-EWEMs'!S$11,Assumptions!$C$6:$C$22,0)),0)+IFERROR('Input-EWEMs'!T53*INDEX(Assumptions!$H$6:$H$22,MATCH('Input-EWEMs'!T$11,Assumptions!$C$6:$C$22,0)),0))</f>
        <v/>
      </c>
    </row>
    <row r="4" spans="1:40">
      <c r="A4" s="3"/>
      <c r="B4" s="116" t="str">
        <f>IF('Input-EWEMs'!$D54="", "",INDEX('Lender Validation'!$B$41:$B$70, MATCH($C4, 'Lender Validation'!$C$41:$C$70, 0)))</f>
        <v/>
      </c>
      <c r="C4" s="3" t="str">
        <f>IF('Input-EWEMs'!$D54="", "", 'Input-EWEMs'!C54)</f>
        <v/>
      </c>
      <c r="D4" s="3" t="str">
        <f>IF('Input-EWEMs'!$D54="", "", 'Input-EWEMs'!D54)</f>
        <v/>
      </c>
      <c r="E4" s="3" t="str">
        <f>IF('Input-EWEMs'!$D54="", "", IFERROR(INDEX('Reference-MeasureList'!$O$47:$O$50,MATCH('Input-EWEMs'!E54,'Reference-MeasureList'!$J$47:$J$50,0)),'Input-EWEMs'!E54))</f>
        <v/>
      </c>
      <c r="F4" s="3" t="str">
        <f>IF('Input-EWEMs'!$D54="", "", 'Input-EWEMs'!F54)</f>
        <v/>
      </c>
      <c r="G4" s="3" t="str">
        <f>IF('Input-EWEMs'!$D54="", "", 'Input-EWEMs'!G54)</f>
        <v/>
      </c>
      <c r="H4" s="3" t="str">
        <f>IF('Input-EWEMs'!$H54="", "", 'Input-EWEMs'!H54)</f>
        <v/>
      </c>
      <c r="I4" s="3" t="str">
        <f>IF('Input-EWEMs'!$I54="", "", 'Input-EWEMs'!I54)</f>
        <v/>
      </c>
      <c r="J4" s="3" t="str">
        <f>IF('Input-EWEMs'!$I54="", "", I4/'DB-Properties'!$K$2)</f>
        <v/>
      </c>
      <c r="K4" s="116" t="str">
        <f>IF('Input-EWEMs'!$D54="", "",ROUND('Input-EWEMs'!K54,0))</f>
        <v/>
      </c>
      <c r="L4" s="116" t="str">
        <f>IF('Input-EWEMs'!$D54="", "",SUM(O4,R4))</f>
        <v/>
      </c>
      <c r="M4" s="116" t="str">
        <f>IF('Input-EWEMs'!$D54="", "",ROUND('Input-EWEMs'!L54,0))</f>
        <v/>
      </c>
      <c r="N4" s="116" t="str">
        <f>IF('Input-EWEMs'!$D54="", "",ROUND('Input-EWEMs'!M54,0))</f>
        <v/>
      </c>
      <c r="O4" s="116" t="str">
        <f>IF('Input-EWEMs'!$D54="", "",ROUND('Input-EWEMs'!N54,0))</f>
        <v/>
      </c>
      <c r="P4" s="116" t="str">
        <f>IF('Input-EWEMs'!$D54="", "",ROUND('Input-EWEMs'!O54,0))</f>
        <v/>
      </c>
      <c r="Q4" s="116" t="str">
        <f>IF('Input-EWEMs'!$D54="", "",ROUND('Input-EWEMs'!P54,0))</f>
        <v/>
      </c>
      <c r="R4" s="116" t="str">
        <f>IF('Input-EWEMs'!$D54="", "",ROUND('Input-EWEMs'!Q54,0))</f>
        <v/>
      </c>
      <c r="S4" s="116" t="str">
        <f>IF('Input-EWEMs'!$D54="", "",'Input-EWEMs'!V54)</f>
        <v/>
      </c>
      <c r="T4" s="116" t="str">
        <f>IF('Input-EWEMs'!$D54="", "",IFERROR(INDEX('Input-EWEMs'!$W54:$X54,MATCH("Natural Gas",'Input-EWEMs'!$W$10:$X$10,0)),0))</f>
        <v/>
      </c>
      <c r="U4" s="116" t="str">
        <f>IF('Input-EWEMs'!$D54="", "",IFERROR(INDEX('Input-EWEMs'!$W54:$X54,MATCH("Fuel Oil #2",'Input-EWEMs'!$W$10:$X$10,0)),0))</f>
        <v/>
      </c>
      <c r="V4" s="116" t="str">
        <f>IF('Input-EWEMs'!$D54="", "",IFERROR(INDEX('Input-EWEMs'!$W54:$X54,MATCH("Fuel Oil #4",'Input-EWEMs'!$W$10:$X$10,0)),0))</f>
        <v/>
      </c>
      <c r="W4" s="116" t="str">
        <f>IF('Input-EWEMs'!$D54="", "",IFERROR(INDEX('Input-EWEMs'!$W54:$X54,MATCH("Fuel Oil #6",'Input-EWEMs'!$W$10:$X$10,0)),0))</f>
        <v/>
      </c>
      <c r="X4" s="116" t="str">
        <f>IF('Input-EWEMs'!$D54="", "",IFERROR(INDEX('Input-EWEMs'!$W54:$X54,MATCH("District Steam",'Input-EWEMs'!$W$10:$X$10,0)),0))</f>
        <v/>
      </c>
      <c r="Y4" s="116" t="str">
        <f>IF('Input-EWEMs'!$D54="", "",IFERROR(INDEX('Input-EWEMs'!$W54:$X54,MATCH("Propane",'Input-EWEMs'!$W$10:$X$10,0)),0))</f>
        <v/>
      </c>
      <c r="Z4" s="116" t="str">
        <f>IF('Input-EWEMs'!$D54="", "",'Input-EWEMs'!Y54)</f>
        <v/>
      </c>
      <c r="AA4" s="116" t="str">
        <f>IF('Input-EWEMs'!$D54="", "",IFERROR(INDEX('Input-EWEMs'!$Z54:$AA54,MATCH("Natural Gas",'Input-EWEMs'!$Z$10:$AA$10,0)),0))</f>
        <v/>
      </c>
      <c r="AB4" s="116" t="str">
        <f>IF('Input-EWEMs'!$D54="", "",IFERROR(INDEX('Input-EWEMs'!$Z54:$AA54,MATCH("Fuel Oil #2",'Input-EWEMs'!$Z$10:$AA$10,0)),0))</f>
        <v/>
      </c>
      <c r="AC4" s="116" t="str">
        <f>IF('Input-EWEMs'!$D54="", "",IFERROR(INDEX('Input-EWEMs'!$Z54:$AA54,MATCH("Fuel Oil #4",'Input-EWEMs'!$Z$10:$AA$10,0)),0))</f>
        <v/>
      </c>
      <c r="AD4" s="116" t="str">
        <f>IF('Input-EWEMs'!$D54="", "",IFERROR(INDEX('Input-EWEMs'!$Z54:$AA54,MATCH("Fuel Oil #6",'Input-EWEMs'!$Z$10:$AA$10,0)),0))</f>
        <v/>
      </c>
      <c r="AE4" s="116" t="str">
        <f>IF('Input-EWEMs'!$D54="", "",IFERROR(INDEX('Input-EWEMs'!$Z54:$AA54,MATCH("District Steam",'Input-EWEMs'!$Z$10:$AA$10,0)),0))</f>
        <v/>
      </c>
      <c r="AF4" s="116" t="str">
        <f>IF('Input-EWEMs'!$D54="", "",IFERROR(INDEX('Input-EWEMs'!$Z54:$AA54,MATCH("Propane",'Input-EWEMs'!$Z$10:$AA$10,0)),0))</f>
        <v/>
      </c>
      <c r="AG4" s="116" t="str">
        <f>IF('Input-EWEMs'!$D54="", "",SUM(S4:Y4))</f>
        <v/>
      </c>
      <c r="AH4" s="116" t="str">
        <f>IF('Input-EWEMs'!$D54="", "",SUM(Z4:AF4))</f>
        <v/>
      </c>
      <c r="AI4" s="116" t="str">
        <f>IF('Input-EWEMs'!$D54="", "",'Input-EWEMs'!AD54)</f>
        <v/>
      </c>
      <c r="AJ4" s="3" t="str">
        <f>IF('Input-EWEMs'!$D54="", "",'Input-EWEMs'!AF54)</f>
        <v/>
      </c>
      <c r="AK4" s="3" t="str">
        <f>IF('Input-EWEMs'!$D54="", "",'Input-EWEMs'!AG54)</f>
        <v/>
      </c>
      <c r="AL4" s="3" t="str">
        <f>IF('Input-EWEMs'!$D54="", "",'Input-EWEMs'!AH54)</f>
        <v/>
      </c>
      <c r="AM4" s="3" t="str">
        <f t="shared" si="0"/>
        <v/>
      </c>
      <c r="AN4" s="3" t="str">
        <f>IF('Input-EWEMs'!$D54="", "",IFERROR('Input-EWEMs'!R54*INDEX(Assumptions!$H$6:$H$22,MATCH('Input-EWEMs'!R$11,Assumptions!$C$6:$C$22,0)),0)+IFERROR('Input-EWEMs'!S54*INDEX(Assumptions!$H$6:$H$22,MATCH('Input-EWEMs'!S$11,Assumptions!$C$6:$C$22,0)),0)+IFERROR('Input-EWEMs'!T54*INDEX(Assumptions!$H$6:$H$22,MATCH('Input-EWEMs'!T$11,Assumptions!$C$6:$C$22,0)),0))</f>
        <v/>
      </c>
    </row>
    <row r="5" spans="1:40">
      <c r="A5" s="3"/>
      <c r="B5" s="116" t="str">
        <f>IF('Input-EWEMs'!$D55="", "",INDEX('Lender Validation'!$B$41:$B$70, MATCH($C5, 'Lender Validation'!$C$41:$C$70, 0)))</f>
        <v/>
      </c>
      <c r="C5" s="3" t="str">
        <f>IF('Input-EWEMs'!$D55="", "", 'Input-EWEMs'!C55)</f>
        <v/>
      </c>
      <c r="D5" s="3" t="str">
        <f>IF('Input-EWEMs'!$D55="", "", 'Input-EWEMs'!D55)</f>
        <v/>
      </c>
      <c r="E5" s="3" t="str">
        <f>IF('Input-EWEMs'!$D55="", "", IFERROR(INDEX('Reference-MeasureList'!$O$47:$O$50,MATCH('Input-EWEMs'!E55,'Reference-MeasureList'!$J$47:$J$50,0)),'Input-EWEMs'!E55))</f>
        <v/>
      </c>
      <c r="F5" s="3" t="str">
        <f>IF('Input-EWEMs'!$D55="", "", 'Input-EWEMs'!F55)</f>
        <v/>
      </c>
      <c r="G5" s="3" t="str">
        <f>IF('Input-EWEMs'!$D55="", "", 'Input-EWEMs'!G55)</f>
        <v/>
      </c>
      <c r="H5" s="3" t="str">
        <f>IF('Input-EWEMs'!$H55="", "", 'Input-EWEMs'!H55)</f>
        <v/>
      </c>
      <c r="I5" s="3" t="str">
        <f>IF('Input-EWEMs'!$I55="", "", 'Input-EWEMs'!I55)</f>
        <v/>
      </c>
      <c r="J5" s="3" t="str">
        <f>IF('Input-EWEMs'!$I55="", "", I5/'DB-Properties'!$K$2)</f>
        <v/>
      </c>
      <c r="K5" s="116" t="str">
        <f>IF('Input-EWEMs'!$D55="", "",ROUND('Input-EWEMs'!K55,0))</f>
        <v/>
      </c>
      <c r="L5" s="116" t="str">
        <f>IF('Input-EWEMs'!$D55="", "",SUM(O5,R5))</f>
        <v/>
      </c>
      <c r="M5" s="116" t="str">
        <f>IF('Input-EWEMs'!$D55="", "",ROUND('Input-EWEMs'!L55,0))</f>
        <v/>
      </c>
      <c r="N5" s="116" t="str">
        <f>IF('Input-EWEMs'!$D55="", "",ROUND('Input-EWEMs'!M55,0))</f>
        <v/>
      </c>
      <c r="O5" s="116" t="str">
        <f>IF('Input-EWEMs'!$D55="", "",ROUND('Input-EWEMs'!N55,0))</f>
        <v/>
      </c>
      <c r="P5" s="116" t="str">
        <f>IF('Input-EWEMs'!$D55="", "",ROUND('Input-EWEMs'!O55,0))</f>
        <v/>
      </c>
      <c r="Q5" s="116" t="str">
        <f>IF('Input-EWEMs'!$D55="", "",ROUND('Input-EWEMs'!P55,0))</f>
        <v/>
      </c>
      <c r="R5" s="116" t="str">
        <f>IF('Input-EWEMs'!$D55="", "",ROUND('Input-EWEMs'!Q55,0))</f>
        <v/>
      </c>
      <c r="S5" s="116" t="str">
        <f>IF('Input-EWEMs'!$D55="", "",'Input-EWEMs'!V55)</f>
        <v/>
      </c>
      <c r="T5" s="116" t="str">
        <f>IF('Input-EWEMs'!$D55="", "",IFERROR(INDEX('Input-EWEMs'!$W55:$X55,MATCH("Natural Gas",'Input-EWEMs'!$W$10:$X$10,0)),0))</f>
        <v/>
      </c>
      <c r="U5" s="116" t="str">
        <f>IF('Input-EWEMs'!$D55="", "",IFERROR(INDEX('Input-EWEMs'!$W55:$X55,MATCH("Fuel Oil #2",'Input-EWEMs'!$W$10:$X$10,0)),0))</f>
        <v/>
      </c>
      <c r="V5" s="116" t="str">
        <f>IF('Input-EWEMs'!$D55="", "",IFERROR(INDEX('Input-EWEMs'!$W55:$X55,MATCH("Fuel Oil #4",'Input-EWEMs'!$W$10:$X$10,0)),0))</f>
        <v/>
      </c>
      <c r="W5" s="116" t="str">
        <f>IF('Input-EWEMs'!$D55="", "",IFERROR(INDEX('Input-EWEMs'!$W55:$X55,MATCH("Fuel Oil #6",'Input-EWEMs'!$W$10:$X$10,0)),0))</f>
        <v/>
      </c>
      <c r="X5" s="116" t="str">
        <f>IF('Input-EWEMs'!$D55="", "",IFERROR(INDEX('Input-EWEMs'!$W55:$X55,MATCH("District Steam",'Input-EWEMs'!$W$10:$X$10,0)),0))</f>
        <v/>
      </c>
      <c r="Y5" s="116" t="str">
        <f>IF('Input-EWEMs'!$D55="", "",IFERROR(INDEX('Input-EWEMs'!$W55:$X55,MATCH("Propane",'Input-EWEMs'!$W$10:$X$10,0)),0))</f>
        <v/>
      </c>
      <c r="Z5" s="116" t="str">
        <f>IF('Input-EWEMs'!$D55="", "",'Input-EWEMs'!Y55)</f>
        <v/>
      </c>
      <c r="AA5" s="116" t="str">
        <f>IF('Input-EWEMs'!$D55="", "",IFERROR(INDEX('Input-EWEMs'!$Z55:$AA55,MATCH("Natural Gas",'Input-EWEMs'!$Z$10:$AA$10,0)),0))</f>
        <v/>
      </c>
      <c r="AB5" s="116" t="str">
        <f>IF('Input-EWEMs'!$D55="", "",IFERROR(INDEX('Input-EWEMs'!$Z55:$AA55,MATCH("Fuel Oil #2",'Input-EWEMs'!$Z$10:$AA$10,0)),0))</f>
        <v/>
      </c>
      <c r="AC5" s="116" t="str">
        <f>IF('Input-EWEMs'!$D55="", "",IFERROR(INDEX('Input-EWEMs'!$Z55:$AA55,MATCH("Fuel Oil #4",'Input-EWEMs'!$Z$10:$AA$10,0)),0))</f>
        <v/>
      </c>
      <c r="AD5" s="116" t="str">
        <f>IF('Input-EWEMs'!$D55="", "",IFERROR(INDEX('Input-EWEMs'!$Z55:$AA55,MATCH("Fuel Oil #6",'Input-EWEMs'!$Z$10:$AA$10,0)),0))</f>
        <v/>
      </c>
      <c r="AE5" s="116" t="str">
        <f>IF('Input-EWEMs'!$D55="", "",IFERROR(INDEX('Input-EWEMs'!$Z55:$AA55,MATCH("District Steam",'Input-EWEMs'!$Z$10:$AA$10,0)),0))</f>
        <v/>
      </c>
      <c r="AF5" s="116" t="str">
        <f>IF('Input-EWEMs'!$D55="", "",IFERROR(INDEX('Input-EWEMs'!$Z55:$AA55,MATCH("Propane",'Input-EWEMs'!$Z$10:$AA$10,0)),0))</f>
        <v/>
      </c>
      <c r="AG5" s="116" t="str">
        <f>IF('Input-EWEMs'!$D55="", "",SUM(S5:Y5))</f>
        <v/>
      </c>
      <c r="AH5" s="116" t="str">
        <f>IF('Input-EWEMs'!$D55="", "",SUM(Z5:AF5))</f>
        <v/>
      </c>
      <c r="AI5" s="116" t="str">
        <f>IF('Input-EWEMs'!$D55="", "",'Input-EWEMs'!AD55)</f>
        <v/>
      </c>
      <c r="AJ5" s="3" t="str">
        <f>IF('Input-EWEMs'!$D55="", "",'Input-EWEMs'!AF55)</f>
        <v/>
      </c>
      <c r="AK5" s="3" t="str">
        <f>IF('Input-EWEMs'!$D55="", "",'Input-EWEMs'!AG55)</f>
        <v/>
      </c>
      <c r="AL5" s="3" t="str">
        <f>IF('Input-EWEMs'!$D55="", "",'Input-EWEMs'!AH55)</f>
        <v/>
      </c>
      <c r="AM5" s="3" t="str">
        <f t="shared" si="0"/>
        <v/>
      </c>
      <c r="AN5" s="3" t="str">
        <f>IF('Input-EWEMs'!$D55="", "",IFERROR('Input-EWEMs'!R55*INDEX(Assumptions!$H$6:$H$22,MATCH('Input-EWEMs'!R$11,Assumptions!$C$6:$C$22,0)),0)+IFERROR('Input-EWEMs'!S55*INDEX(Assumptions!$H$6:$H$22,MATCH('Input-EWEMs'!S$11,Assumptions!$C$6:$C$22,0)),0)+IFERROR('Input-EWEMs'!T55*INDEX(Assumptions!$H$6:$H$22,MATCH('Input-EWEMs'!T$11,Assumptions!$C$6:$C$22,0)),0))</f>
        <v/>
      </c>
    </row>
    <row r="6" spans="1:40">
      <c r="A6" s="3"/>
      <c r="B6" s="116" t="str">
        <f>IF('Input-EWEMs'!$D56="", "",INDEX('Lender Validation'!$B$41:$B$70, MATCH($C6, 'Lender Validation'!$C$41:$C$70, 0)))</f>
        <v/>
      </c>
      <c r="C6" s="3" t="str">
        <f>IF('Input-EWEMs'!$D56="", "", 'Input-EWEMs'!C56)</f>
        <v/>
      </c>
      <c r="D6" s="3" t="str">
        <f>IF('Input-EWEMs'!$D56="", "", 'Input-EWEMs'!D56)</f>
        <v/>
      </c>
      <c r="E6" s="3" t="str">
        <f>IF('Input-EWEMs'!$D56="", "", IFERROR(INDEX('Reference-MeasureList'!$O$47:$O$50,MATCH('Input-EWEMs'!E56,'Reference-MeasureList'!$J$47:$J$50,0)),'Input-EWEMs'!E56))</f>
        <v/>
      </c>
      <c r="F6" s="3" t="str">
        <f>IF('Input-EWEMs'!$D56="", "", 'Input-EWEMs'!F56)</f>
        <v/>
      </c>
      <c r="G6" s="3" t="str">
        <f>IF('Input-EWEMs'!$D56="", "", 'Input-EWEMs'!G56)</f>
        <v/>
      </c>
      <c r="H6" s="3" t="str">
        <f>IF('Input-EWEMs'!$H56="", "", 'Input-EWEMs'!H56)</f>
        <v/>
      </c>
      <c r="I6" s="3" t="str">
        <f>IF('Input-EWEMs'!$I56="", "", 'Input-EWEMs'!I56)</f>
        <v/>
      </c>
      <c r="J6" s="3" t="str">
        <f>IF('Input-EWEMs'!$I56="", "", I6/'DB-Properties'!$K$2)</f>
        <v/>
      </c>
      <c r="K6" s="116" t="str">
        <f>IF('Input-EWEMs'!$D56="", "",ROUND('Input-EWEMs'!K56,0))</f>
        <v/>
      </c>
      <c r="L6" s="116" t="str">
        <f>IF('Input-EWEMs'!$D56="", "",SUM(O6,R6))</f>
        <v/>
      </c>
      <c r="M6" s="116" t="str">
        <f>IF('Input-EWEMs'!$D56="", "",ROUND('Input-EWEMs'!L56,0))</f>
        <v/>
      </c>
      <c r="N6" s="116" t="str">
        <f>IF('Input-EWEMs'!$D56="", "",ROUND('Input-EWEMs'!M56,0))</f>
        <v/>
      </c>
      <c r="O6" s="116" t="str">
        <f>IF('Input-EWEMs'!$D56="", "",ROUND('Input-EWEMs'!N56,0))</f>
        <v/>
      </c>
      <c r="P6" s="116" t="str">
        <f>IF('Input-EWEMs'!$D56="", "",ROUND('Input-EWEMs'!O56,0))</f>
        <v/>
      </c>
      <c r="Q6" s="116" t="str">
        <f>IF('Input-EWEMs'!$D56="", "",ROUND('Input-EWEMs'!P56,0))</f>
        <v/>
      </c>
      <c r="R6" s="116" t="str">
        <f>IF('Input-EWEMs'!$D56="", "",ROUND('Input-EWEMs'!Q56,0))</f>
        <v/>
      </c>
      <c r="S6" s="116" t="str">
        <f>IF('Input-EWEMs'!$D56="", "",'Input-EWEMs'!V56)</f>
        <v/>
      </c>
      <c r="T6" s="116" t="str">
        <f>IF('Input-EWEMs'!$D56="", "",IFERROR(INDEX('Input-EWEMs'!$W56:$X56,MATCH("Natural Gas",'Input-EWEMs'!$W$10:$X$10,0)),0))</f>
        <v/>
      </c>
      <c r="U6" s="116" t="str">
        <f>IF('Input-EWEMs'!$D56="", "",IFERROR(INDEX('Input-EWEMs'!$W56:$X56,MATCH("Fuel Oil #2",'Input-EWEMs'!$W$10:$X$10,0)),0))</f>
        <v/>
      </c>
      <c r="V6" s="116" t="str">
        <f>IF('Input-EWEMs'!$D56="", "",IFERROR(INDEX('Input-EWEMs'!$W56:$X56,MATCH("Fuel Oil #4",'Input-EWEMs'!$W$10:$X$10,0)),0))</f>
        <v/>
      </c>
      <c r="W6" s="116" t="str">
        <f>IF('Input-EWEMs'!$D56="", "",IFERROR(INDEX('Input-EWEMs'!$W56:$X56,MATCH("Fuel Oil #6",'Input-EWEMs'!$W$10:$X$10,0)),0))</f>
        <v/>
      </c>
      <c r="X6" s="116" t="str">
        <f>IF('Input-EWEMs'!$D56="", "",IFERROR(INDEX('Input-EWEMs'!$W56:$X56,MATCH("District Steam",'Input-EWEMs'!$W$10:$X$10,0)),0))</f>
        <v/>
      </c>
      <c r="Y6" s="116" t="str">
        <f>IF('Input-EWEMs'!$D56="", "",IFERROR(INDEX('Input-EWEMs'!$W56:$X56,MATCH("Propane",'Input-EWEMs'!$W$10:$X$10,0)),0))</f>
        <v/>
      </c>
      <c r="Z6" s="116" t="str">
        <f>IF('Input-EWEMs'!$D56="", "",'Input-EWEMs'!Y56)</f>
        <v/>
      </c>
      <c r="AA6" s="116" t="str">
        <f>IF('Input-EWEMs'!$D56="", "",IFERROR(INDEX('Input-EWEMs'!$Z56:$AA56,MATCH("Natural Gas",'Input-EWEMs'!$Z$10:$AA$10,0)),0))</f>
        <v/>
      </c>
      <c r="AB6" s="116" t="str">
        <f>IF('Input-EWEMs'!$D56="", "",IFERROR(INDEX('Input-EWEMs'!$Z56:$AA56,MATCH("Fuel Oil #2",'Input-EWEMs'!$Z$10:$AA$10,0)),0))</f>
        <v/>
      </c>
      <c r="AC6" s="116" t="str">
        <f>IF('Input-EWEMs'!$D56="", "",IFERROR(INDEX('Input-EWEMs'!$Z56:$AA56,MATCH("Fuel Oil #4",'Input-EWEMs'!$Z$10:$AA$10,0)),0))</f>
        <v/>
      </c>
      <c r="AD6" s="116" t="str">
        <f>IF('Input-EWEMs'!$D56="", "",IFERROR(INDEX('Input-EWEMs'!$Z56:$AA56,MATCH("Fuel Oil #6",'Input-EWEMs'!$Z$10:$AA$10,0)),0))</f>
        <v/>
      </c>
      <c r="AE6" s="116" t="str">
        <f>IF('Input-EWEMs'!$D56="", "",IFERROR(INDEX('Input-EWEMs'!$Z56:$AA56,MATCH("District Steam",'Input-EWEMs'!$Z$10:$AA$10,0)),0))</f>
        <v/>
      </c>
      <c r="AF6" s="116" t="str">
        <f>IF('Input-EWEMs'!$D56="", "",IFERROR(INDEX('Input-EWEMs'!$Z56:$AA56,MATCH("Propane",'Input-EWEMs'!$Z$10:$AA$10,0)),0))</f>
        <v/>
      </c>
      <c r="AG6" s="116" t="str">
        <f>IF('Input-EWEMs'!$D56="", "",SUM(S6:Y6))</f>
        <v/>
      </c>
      <c r="AH6" s="116" t="str">
        <f>IF('Input-EWEMs'!$D56="", "",SUM(Z6:AF6))</f>
        <v/>
      </c>
      <c r="AI6" s="116" t="str">
        <f>IF('Input-EWEMs'!$D56="", "",'Input-EWEMs'!AD56)</f>
        <v/>
      </c>
      <c r="AJ6" s="3" t="str">
        <f>IF('Input-EWEMs'!$D56="", "",'Input-EWEMs'!AF56)</f>
        <v/>
      </c>
      <c r="AK6" s="3" t="str">
        <f>IF('Input-EWEMs'!$D56="", "",'Input-EWEMs'!AG56)</f>
        <v/>
      </c>
      <c r="AL6" s="3" t="str">
        <f>IF('Input-EWEMs'!$D56="", "",'Input-EWEMs'!AH56)</f>
        <v/>
      </c>
      <c r="AM6" s="3" t="str">
        <f t="shared" si="0"/>
        <v/>
      </c>
      <c r="AN6" s="3" t="str">
        <f>IF('Input-EWEMs'!$D56="", "",IFERROR('Input-EWEMs'!R56*INDEX(Assumptions!$H$6:$H$22,MATCH('Input-EWEMs'!R$11,Assumptions!$C$6:$C$22,0)),0)+IFERROR('Input-EWEMs'!S56*INDEX(Assumptions!$H$6:$H$22,MATCH('Input-EWEMs'!S$11,Assumptions!$C$6:$C$22,0)),0)+IFERROR('Input-EWEMs'!T56*INDEX(Assumptions!$H$6:$H$22,MATCH('Input-EWEMs'!T$11,Assumptions!$C$6:$C$22,0)),0))</f>
        <v/>
      </c>
    </row>
    <row r="7" spans="1:40">
      <c r="A7" s="3"/>
      <c r="B7" s="116" t="str">
        <f>IF('Input-EWEMs'!$D57="", "",INDEX('Lender Validation'!$B$41:$B$70, MATCH($C7, 'Lender Validation'!$C$41:$C$70, 0)))</f>
        <v/>
      </c>
      <c r="C7" s="3" t="str">
        <f>IF('Input-EWEMs'!$D57="", "", 'Input-EWEMs'!C57)</f>
        <v/>
      </c>
      <c r="D7" s="3" t="str">
        <f>IF('Input-EWEMs'!$D57="", "", 'Input-EWEMs'!D57)</f>
        <v/>
      </c>
      <c r="E7" s="3" t="str">
        <f>IF('Input-EWEMs'!$D57="", "", IFERROR(INDEX('Reference-MeasureList'!$O$47:$O$50,MATCH('Input-EWEMs'!E57,'Reference-MeasureList'!$J$47:$J$50,0)),'Input-EWEMs'!E57))</f>
        <v/>
      </c>
      <c r="F7" s="3" t="str">
        <f>IF('Input-EWEMs'!$D57="", "", 'Input-EWEMs'!F57)</f>
        <v/>
      </c>
      <c r="G7" s="3" t="str">
        <f>IF('Input-EWEMs'!$D57="", "", 'Input-EWEMs'!G57)</f>
        <v/>
      </c>
      <c r="H7" s="3" t="str">
        <f>IF('Input-EWEMs'!$H57="", "", 'Input-EWEMs'!H57)</f>
        <v/>
      </c>
      <c r="I7" s="3" t="str">
        <f>IF('Input-EWEMs'!$I57="", "", 'Input-EWEMs'!I57)</f>
        <v/>
      </c>
      <c r="J7" s="3" t="str">
        <f>IF('Input-EWEMs'!$I57="", "", I7/'DB-Properties'!$K$2)</f>
        <v/>
      </c>
      <c r="K7" s="116" t="str">
        <f>IF('Input-EWEMs'!$D57="", "",ROUND('Input-EWEMs'!K57,0))</f>
        <v/>
      </c>
      <c r="L7" s="116" t="str">
        <f>IF('Input-EWEMs'!$D57="", "",SUM(O7,R7))</f>
        <v/>
      </c>
      <c r="M7" s="116" t="str">
        <f>IF('Input-EWEMs'!$D57="", "",ROUND('Input-EWEMs'!L57,0))</f>
        <v/>
      </c>
      <c r="N7" s="116" t="str">
        <f>IF('Input-EWEMs'!$D57="", "",ROUND('Input-EWEMs'!M57,0))</f>
        <v/>
      </c>
      <c r="O7" s="116" t="str">
        <f>IF('Input-EWEMs'!$D57="", "",ROUND('Input-EWEMs'!N57,0))</f>
        <v/>
      </c>
      <c r="P7" s="116" t="str">
        <f>IF('Input-EWEMs'!$D57="", "",ROUND('Input-EWEMs'!O57,0))</f>
        <v/>
      </c>
      <c r="Q7" s="116" t="str">
        <f>IF('Input-EWEMs'!$D57="", "",ROUND('Input-EWEMs'!P57,0))</f>
        <v/>
      </c>
      <c r="R7" s="116" t="str">
        <f>IF('Input-EWEMs'!$D57="", "",ROUND('Input-EWEMs'!Q57,0))</f>
        <v/>
      </c>
      <c r="S7" s="116" t="str">
        <f>IF('Input-EWEMs'!$D57="", "",'Input-EWEMs'!V57)</f>
        <v/>
      </c>
      <c r="T7" s="116" t="str">
        <f>IF('Input-EWEMs'!$D57="", "",IFERROR(INDEX('Input-EWEMs'!$W57:$X57,MATCH("Natural Gas",'Input-EWEMs'!$W$10:$X$10,0)),0))</f>
        <v/>
      </c>
      <c r="U7" s="116" t="str">
        <f>IF('Input-EWEMs'!$D57="", "",IFERROR(INDEX('Input-EWEMs'!$W57:$X57,MATCH("Fuel Oil #2",'Input-EWEMs'!$W$10:$X$10,0)),0))</f>
        <v/>
      </c>
      <c r="V7" s="116" t="str">
        <f>IF('Input-EWEMs'!$D57="", "",IFERROR(INDEX('Input-EWEMs'!$W57:$X57,MATCH("Fuel Oil #4",'Input-EWEMs'!$W$10:$X$10,0)),0))</f>
        <v/>
      </c>
      <c r="W7" s="116" t="str">
        <f>IF('Input-EWEMs'!$D57="", "",IFERROR(INDEX('Input-EWEMs'!$W57:$X57,MATCH("Fuel Oil #6",'Input-EWEMs'!$W$10:$X$10,0)),0))</f>
        <v/>
      </c>
      <c r="X7" s="116" t="str">
        <f>IF('Input-EWEMs'!$D57="", "",IFERROR(INDEX('Input-EWEMs'!$W57:$X57,MATCH("District Steam",'Input-EWEMs'!$W$10:$X$10,0)),0))</f>
        <v/>
      </c>
      <c r="Y7" s="116" t="str">
        <f>IF('Input-EWEMs'!$D57="", "",IFERROR(INDEX('Input-EWEMs'!$W57:$X57,MATCH("Propane",'Input-EWEMs'!$W$10:$X$10,0)),0))</f>
        <v/>
      </c>
      <c r="Z7" s="116" t="str">
        <f>IF('Input-EWEMs'!$D57="", "",'Input-EWEMs'!Y57)</f>
        <v/>
      </c>
      <c r="AA7" s="116" t="str">
        <f>IF('Input-EWEMs'!$D57="", "",IFERROR(INDEX('Input-EWEMs'!$Z57:$AA57,MATCH("Natural Gas",'Input-EWEMs'!$Z$10:$AA$10,0)),0))</f>
        <v/>
      </c>
      <c r="AB7" s="116" t="str">
        <f>IF('Input-EWEMs'!$D57="", "",IFERROR(INDEX('Input-EWEMs'!$Z57:$AA57,MATCH("Fuel Oil #2",'Input-EWEMs'!$Z$10:$AA$10,0)),0))</f>
        <v/>
      </c>
      <c r="AC7" s="116" t="str">
        <f>IF('Input-EWEMs'!$D57="", "",IFERROR(INDEX('Input-EWEMs'!$Z57:$AA57,MATCH("Fuel Oil #4",'Input-EWEMs'!$Z$10:$AA$10,0)),0))</f>
        <v/>
      </c>
      <c r="AD7" s="116" t="str">
        <f>IF('Input-EWEMs'!$D57="", "",IFERROR(INDEX('Input-EWEMs'!$Z57:$AA57,MATCH("Fuel Oil #6",'Input-EWEMs'!$Z$10:$AA$10,0)),0))</f>
        <v/>
      </c>
      <c r="AE7" s="116" t="str">
        <f>IF('Input-EWEMs'!$D57="", "",IFERROR(INDEX('Input-EWEMs'!$Z57:$AA57,MATCH("District Steam",'Input-EWEMs'!$Z$10:$AA$10,0)),0))</f>
        <v/>
      </c>
      <c r="AF7" s="116" t="str">
        <f>IF('Input-EWEMs'!$D57="", "",IFERROR(INDEX('Input-EWEMs'!$Z57:$AA57,MATCH("Propane",'Input-EWEMs'!$Z$10:$AA$10,0)),0))</f>
        <v/>
      </c>
      <c r="AG7" s="116" t="str">
        <f>IF('Input-EWEMs'!$D57="", "",SUM(S7:Y7))</f>
        <v/>
      </c>
      <c r="AH7" s="116" t="str">
        <f>IF('Input-EWEMs'!$D57="", "",SUM(Z7:AF7))</f>
        <v/>
      </c>
      <c r="AI7" s="116" t="str">
        <f>IF('Input-EWEMs'!$D57="", "",'Input-EWEMs'!AD57)</f>
        <v/>
      </c>
      <c r="AJ7" s="3" t="str">
        <f>IF('Input-EWEMs'!$D57="", "",'Input-EWEMs'!AF57)</f>
        <v/>
      </c>
      <c r="AK7" s="3" t="str">
        <f>IF('Input-EWEMs'!$D57="", "",'Input-EWEMs'!AG57)</f>
        <v/>
      </c>
      <c r="AL7" s="3" t="str">
        <f>IF('Input-EWEMs'!$D57="", "",'Input-EWEMs'!AH57)</f>
        <v/>
      </c>
      <c r="AM7" s="3" t="str">
        <f t="shared" si="0"/>
        <v/>
      </c>
      <c r="AN7" s="3" t="str">
        <f>IF('Input-EWEMs'!$D57="", "",IFERROR('Input-EWEMs'!R57*INDEX(Assumptions!$H$6:$H$22,MATCH('Input-EWEMs'!R$11,Assumptions!$C$6:$C$22,0)),0)+IFERROR('Input-EWEMs'!S57*INDEX(Assumptions!$H$6:$H$22,MATCH('Input-EWEMs'!S$11,Assumptions!$C$6:$C$22,0)),0)+IFERROR('Input-EWEMs'!T57*INDEX(Assumptions!$H$6:$H$22,MATCH('Input-EWEMs'!T$11,Assumptions!$C$6:$C$22,0)),0))</f>
        <v/>
      </c>
    </row>
    <row r="8" spans="1:40">
      <c r="A8" s="3"/>
      <c r="B8" s="116" t="str">
        <f>IF('Input-EWEMs'!$D58="", "",INDEX('Lender Validation'!$B$41:$B$70, MATCH($C8, 'Lender Validation'!$C$41:$C$70, 0)))</f>
        <v/>
      </c>
      <c r="C8" s="3" t="str">
        <f>IF('Input-EWEMs'!$D58="", "", 'Input-EWEMs'!C58)</f>
        <v/>
      </c>
      <c r="D8" s="3" t="str">
        <f>IF('Input-EWEMs'!$D58="", "", 'Input-EWEMs'!D58)</f>
        <v/>
      </c>
      <c r="E8" s="3" t="str">
        <f>IF('Input-EWEMs'!$D58="", "", IFERROR(INDEX('Reference-MeasureList'!$O$47:$O$50,MATCH('Input-EWEMs'!E58,'Reference-MeasureList'!$J$47:$J$50,0)),'Input-EWEMs'!E58))</f>
        <v/>
      </c>
      <c r="F8" s="3" t="str">
        <f>IF('Input-EWEMs'!$D58="", "", 'Input-EWEMs'!F58)</f>
        <v/>
      </c>
      <c r="G8" s="3" t="str">
        <f>IF('Input-EWEMs'!$D58="", "", 'Input-EWEMs'!G58)</f>
        <v/>
      </c>
      <c r="H8" s="3" t="str">
        <f>IF('Input-EWEMs'!$H58="", "", 'Input-EWEMs'!H58)</f>
        <v/>
      </c>
      <c r="I8" s="3" t="str">
        <f>IF('Input-EWEMs'!$I58="", "", 'Input-EWEMs'!I58)</f>
        <v/>
      </c>
      <c r="J8" s="3" t="str">
        <f>IF('Input-EWEMs'!$I58="", "", I8/'DB-Properties'!$K$2)</f>
        <v/>
      </c>
      <c r="K8" s="116" t="str">
        <f>IF('Input-EWEMs'!$D58="", "",ROUND('Input-EWEMs'!K58,0))</f>
        <v/>
      </c>
      <c r="L8" s="116" t="str">
        <f>IF('Input-EWEMs'!$D58="", "",SUM(O8,R8))</f>
        <v/>
      </c>
      <c r="M8" s="116" t="str">
        <f>IF('Input-EWEMs'!$D58="", "",ROUND('Input-EWEMs'!L58,0))</f>
        <v/>
      </c>
      <c r="N8" s="116" t="str">
        <f>IF('Input-EWEMs'!$D58="", "",ROUND('Input-EWEMs'!M58,0))</f>
        <v/>
      </c>
      <c r="O8" s="116" t="str">
        <f>IF('Input-EWEMs'!$D58="", "",ROUND('Input-EWEMs'!N58,0))</f>
        <v/>
      </c>
      <c r="P8" s="116" t="str">
        <f>IF('Input-EWEMs'!$D58="", "",ROUND('Input-EWEMs'!O58,0))</f>
        <v/>
      </c>
      <c r="Q8" s="116" t="str">
        <f>IF('Input-EWEMs'!$D58="", "",ROUND('Input-EWEMs'!P58,0))</f>
        <v/>
      </c>
      <c r="R8" s="116" t="str">
        <f>IF('Input-EWEMs'!$D58="", "",ROUND('Input-EWEMs'!Q58,0))</f>
        <v/>
      </c>
      <c r="S8" s="116" t="str">
        <f>IF('Input-EWEMs'!$D58="", "",'Input-EWEMs'!V58)</f>
        <v/>
      </c>
      <c r="T8" s="116" t="str">
        <f>IF('Input-EWEMs'!$D58="", "",IFERROR(INDEX('Input-EWEMs'!$W58:$X58,MATCH("Natural Gas",'Input-EWEMs'!$W$10:$X$10,0)),0))</f>
        <v/>
      </c>
      <c r="U8" s="116" t="str">
        <f>IF('Input-EWEMs'!$D58="", "",IFERROR(INDEX('Input-EWEMs'!$W58:$X58,MATCH("Fuel Oil #2",'Input-EWEMs'!$W$10:$X$10,0)),0))</f>
        <v/>
      </c>
      <c r="V8" s="116" t="str">
        <f>IF('Input-EWEMs'!$D58="", "",IFERROR(INDEX('Input-EWEMs'!$W58:$X58,MATCH("Fuel Oil #4",'Input-EWEMs'!$W$10:$X$10,0)),0))</f>
        <v/>
      </c>
      <c r="W8" s="116" t="str">
        <f>IF('Input-EWEMs'!$D58="", "",IFERROR(INDEX('Input-EWEMs'!$W58:$X58,MATCH("Fuel Oil #6",'Input-EWEMs'!$W$10:$X$10,0)),0))</f>
        <v/>
      </c>
      <c r="X8" s="116" t="str">
        <f>IF('Input-EWEMs'!$D58="", "",IFERROR(INDEX('Input-EWEMs'!$W58:$X58,MATCH("District Steam",'Input-EWEMs'!$W$10:$X$10,0)),0))</f>
        <v/>
      </c>
      <c r="Y8" s="116" t="str">
        <f>IF('Input-EWEMs'!$D58="", "",IFERROR(INDEX('Input-EWEMs'!$W58:$X58,MATCH("Propane",'Input-EWEMs'!$W$10:$X$10,0)),0))</f>
        <v/>
      </c>
      <c r="Z8" s="116" t="str">
        <f>IF('Input-EWEMs'!$D58="", "",'Input-EWEMs'!Y58)</f>
        <v/>
      </c>
      <c r="AA8" s="116" t="str">
        <f>IF('Input-EWEMs'!$D58="", "",IFERROR(INDEX('Input-EWEMs'!$Z58:$AA58,MATCH("Natural Gas",'Input-EWEMs'!$Z$10:$AA$10,0)),0))</f>
        <v/>
      </c>
      <c r="AB8" s="116" t="str">
        <f>IF('Input-EWEMs'!$D58="", "",IFERROR(INDEX('Input-EWEMs'!$Z58:$AA58,MATCH("Fuel Oil #2",'Input-EWEMs'!$Z$10:$AA$10,0)),0))</f>
        <v/>
      </c>
      <c r="AC8" s="116" t="str">
        <f>IF('Input-EWEMs'!$D58="", "",IFERROR(INDEX('Input-EWEMs'!$Z58:$AA58,MATCH("Fuel Oil #4",'Input-EWEMs'!$Z$10:$AA$10,0)),0))</f>
        <v/>
      </c>
      <c r="AD8" s="116" t="str">
        <f>IF('Input-EWEMs'!$D58="", "",IFERROR(INDEX('Input-EWEMs'!$Z58:$AA58,MATCH("Fuel Oil #6",'Input-EWEMs'!$Z$10:$AA$10,0)),0))</f>
        <v/>
      </c>
      <c r="AE8" s="116" t="str">
        <f>IF('Input-EWEMs'!$D58="", "",IFERROR(INDEX('Input-EWEMs'!$Z58:$AA58,MATCH("District Steam",'Input-EWEMs'!$Z$10:$AA$10,0)),0))</f>
        <v/>
      </c>
      <c r="AF8" s="116" t="str">
        <f>IF('Input-EWEMs'!$D58="", "",IFERROR(INDEX('Input-EWEMs'!$Z58:$AA58,MATCH("Propane",'Input-EWEMs'!$Z$10:$AA$10,0)),0))</f>
        <v/>
      </c>
      <c r="AG8" s="116" t="str">
        <f>IF('Input-EWEMs'!$D58="", "",SUM(S8:Y8))</f>
        <v/>
      </c>
      <c r="AH8" s="116" t="str">
        <f>IF('Input-EWEMs'!$D58="", "",SUM(Z8:AF8))</f>
        <v/>
      </c>
      <c r="AI8" s="116" t="str">
        <f>IF('Input-EWEMs'!$D58="", "",'Input-EWEMs'!AD58)</f>
        <v/>
      </c>
      <c r="AJ8" s="3" t="str">
        <f>IF('Input-EWEMs'!$D58="", "",'Input-EWEMs'!AF58)</f>
        <v/>
      </c>
      <c r="AK8" s="3" t="str">
        <f>IF('Input-EWEMs'!$D58="", "",'Input-EWEMs'!AG58)</f>
        <v/>
      </c>
      <c r="AL8" s="3" t="str">
        <f>IF('Input-EWEMs'!$D58="", "",'Input-EWEMs'!AH58)</f>
        <v/>
      </c>
      <c r="AM8" s="3" t="str">
        <f t="shared" si="0"/>
        <v/>
      </c>
      <c r="AN8" s="3" t="str">
        <f>IF('Input-EWEMs'!$D58="", "",IFERROR('Input-EWEMs'!R58*INDEX(Assumptions!$H$6:$H$22,MATCH('Input-EWEMs'!R$11,Assumptions!$C$6:$C$22,0)),0)+IFERROR('Input-EWEMs'!S58*INDEX(Assumptions!$H$6:$H$22,MATCH('Input-EWEMs'!S$11,Assumptions!$C$6:$C$22,0)),0)+IFERROR('Input-EWEMs'!T58*INDEX(Assumptions!$H$6:$H$22,MATCH('Input-EWEMs'!T$11,Assumptions!$C$6:$C$22,0)),0))</f>
        <v/>
      </c>
    </row>
    <row r="9" spans="1:40">
      <c r="A9" s="3"/>
      <c r="B9" s="116" t="str">
        <f>IF('Input-EWEMs'!$D59="", "",INDEX('Lender Validation'!$B$41:$B$70, MATCH($C9, 'Lender Validation'!$C$41:$C$70, 0)))</f>
        <v/>
      </c>
      <c r="C9" s="3" t="str">
        <f>IF('Input-EWEMs'!$D59="", "", 'Input-EWEMs'!C59)</f>
        <v/>
      </c>
      <c r="D9" s="3" t="str">
        <f>IF('Input-EWEMs'!$D59="", "", 'Input-EWEMs'!D59)</f>
        <v/>
      </c>
      <c r="E9" s="3" t="str">
        <f>IF('Input-EWEMs'!$D59="", "", IFERROR(INDEX('Reference-MeasureList'!$O$47:$O$50,MATCH('Input-EWEMs'!E59,'Reference-MeasureList'!$J$47:$J$50,0)),'Input-EWEMs'!E59))</f>
        <v/>
      </c>
      <c r="F9" s="3" t="str">
        <f>IF('Input-EWEMs'!$D59="", "", 'Input-EWEMs'!F59)</f>
        <v/>
      </c>
      <c r="G9" s="3" t="str">
        <f>IF('Input-EWEMs'!$D59="", "", 'Input-EWEMs'!G59)</f>
        <v/>
      </c>
      <c r="H9" s="3" t="str">
        <f>IF('Input-EWEMs'!$H59="", "", 'Input-EWEMs'!H59)</f>
        <v/>
      </c>
      <c r="I9" s="3" t="str">
        <f>IF('Input-EWEMs'!$I59="", "", 'Input-EWEMs'!I59)</f>
        <v/>
      </c>
      <c r="J9" s="3" t="str">
        <f>IF('Input-EWEMs'!$I59="", "", I9/'DB-Properties'!$K$2)</f>
        <v/>
      </c>
      <c r="K9" s="116" t="str">
        <f>IF('Input-EWEMs'!$D59="", "",ROUND('Input-EWEMs'!K59,0))</f>
        <v/>
      </c>
      <c r="L9" s="116" t="str">
        <f>IF('Input-EWEMs'!$D59="", "",SUM(O9,R9))</f>
        <v/>
      </c>
      <c r="M9" s="116" t="str">
        <f>IF('Input-EWEMs'!$D59="", "",ROUND('Input-EWEMs'!L59,0))</f>
        <v/>
      </c>
      <c r="N9" s="116" t="str">
        <f>IF('Input-EWEMs'!$D59="", "",ROUND('Input-EWEMs'!M59,0))</f>
        <v/>
      </c>
      <c r="O9" s="116" t="str">
        <f>IF('Input-EWEMs'!$D59="", "",ROUND('Input-EWEMs'!N59,0))</f>
        <v/>
      </c>
      <c r="P9" s="116" t="str">
        <f>IF('Input-EWEMs'!$D59="", "",ROUND('Input-EWEMs'!O59,0))</f>
        <v/>
      </c>
      <c r="Q9" s="116" t="str">
        <f>IF('Input-EWEMs'!$D59="", "",ROUND('Input-EWEMs'!P59,0))</f>
        <v/>
      </c>
      <c r="R9" s="116" t="str">
        <f>IF('Input-EWEMs'!$D59="", "",ROUND('Input-EWEMs'!Q59,0))</f>
        <v/>
      </c>
      <c r="S9" s="116" t="str">
        <f>IF('Input-EWEMs'!$D59="", "",'Input-EWEMs'!V59)</f>
        <v/>
      </c>
      <c r="T9" s="116" t="str">
        <f>IF('Input-EWEMs'!$D59="", "",IFERROR(INDEX('Input-EWEMs'!$W59:$X59,MATCH("Natural Gas",'Input-EWEMs'!$W$10:$X$10,0)),0))</f>
        <v/>
      </c>
      <c r="U9" s="116" t="str">
        <f>IF('Input-EWEMs'!$D59="", "",IFERROR(INDEX('Input-EWEMs'!$W59:$X59,MATCH("Fuel Oil #2",'Input-EWEMs'!$W$10:$X$10,0)),0))</f>
        <v/>
      </c>
      <c r="V9" s="116" t="str">
        <f>IF('Input-EWEMs'!$D59="", "",IFERROR(INDEX('Input-EWEMs'!$W59:$X59,MATCH("Fuel Oil #4",'Input-EWEMs'!$W$10:$X$10,0)),0))</f>
        <v/>
      </c>
      <c r="W9" s="116" t="str">
        <f>IF('Input-EWEMs'!$D59="", "",IFERROR(INDEX('Input-EWEMs'!$W59:$X59,MATCH("Fuel Oil #6",'Input-EWEMs'!$W$10:$X$10,0)),0))</f>
        <v/>
      </c>
      <c r="X9" s="116" t="str">
        <f>IF('Input-EWEMs'!$D59="", "",IFERROR(INDEX('Input-EWEMs'!$W59:$X59,MATCH("District Steam",'Input-EWEMs'!$W$10:$X$10,0)),0))</f>
        <v/>
      </c>
      <c r="Y9" s="116" t="str">
        <f>IF('Input-EWEMs'!$D59="", "",IFERROR(INDEX('Input-EWEMs'!$W59:$X59,MATCH("Propane",'Input-EWEMs'!$W$10:$X$10,0)),0))</f>
        <v/>
      </c>
      <c r="Z9" s="116" t="str">
        <f>IF('Input-EWEMs'!$D59="", "",'Input-EWEMs'!Y59)</f>
        <v/>
      </c>
      <c r="AA9" s="116" t="str">
        <f>IF('Input-EWEMs'!$D59="", "",IFERROR(INDEX('Input-EWEMs'!$Z59:$AA59,MATCH("Natural Gas",'Input-EWEMs'!$Z$10:$AA$10,0)),0))</f>
        <v/>
      </c>
      <c r="AB9" s="116" t="str">
        <f>IF('Input-EWEMs'!$D59="", "",IFERROR(INDEX('Input-EWEMs'!$Z59:$AA59,MATCH("Fuel Oil #2",'Input-EWEMs'!$Z$10:$AA$10,0)),0))</f>
        <v/>
      </c>
      <c r="AC9" s="116" t="str">
        <f>IF('Input-EWEMs'!$D59="", "",IFERROR(INDEX('Input-EWEMs'!$Z59:$AA59,MATCH("Fuel Oil #4",'Input-EWEMs'!$Z$10:$AA$10,0)),0))</f>
        <v/>
      </c>
      <c r="AD9" s="116" t="str">
        <f>IF('Input-EWEMs'!$D59="", "",IFERROR(INDEX('Input-EWEMs'!$Z59:$AA59,MATCH("Fuel Oil #6",'Input-EWEMs'!$Z$10:$AA$10,0)),0))</f>
        <v/>
      </c>
      <c r="AE9" s="116" t="str">
        <f>IF('Input-EWEMs'!$D59="", "",IFERROR(INDEX('Input-EWEMs'!$Z59:$AA59,MATCH("District Steam",'Input-EWEMs'!$Z$10:$AA$10,0)),0))</f>
        <v/>
      </c>
      <c r="AF9" s="116" t="str">
        <f>IF('Input-EWEMs'!$D59="", "",IFERROR(INDEX('Input-EWEMs'!$Z59:$AA59,MATCH("Propane",'Input-EWEMs'!$Z$10:$AA$10,0)),0))</f>
        <v/>
      </c>
      <c r="AG9" s="116" t="str">
        <f>IF('Input-EWEMs'!$D59="", "",SUM(S9:Y9))</f>
        <v/>
      </c>
      <c r="AH9" s="116" t="str">
        <f>IF('Input-EWEMs'!$D59="", "",SUM(Z9:AF9))</f>
        <v/>
      </c>
      <c r="AI9" s="116" t="str">
        <f>IF('Input-EWEMs'!$D59="", "",'Input-EWEMs'!AD59)</f>
        <v/>
      </c>
      <c r="AJ9" s="3" t="str">
        <f>IF('Input-EWEMs'!$D59="", "",'Input-EWEMs'!AF59)</f>
        <v/>
      </c>
      <c r="AK9" s="3" t="str">
        <f>IF('Input-EWEMs'!$D59="", "",'Input-EWEMs'!AG59)</f>
        <v/>
      </c>
      <c r="AL9" s="3" t="str">
        <f>IF('Input-EWEMs'!$D59="", "",'Input-EWEMs'!AH59)</f>
        <v/>
      </c>
      <c r="AM9" s="3" t="str">
        <f t="shared" si="0"/>
        <v/>
      </c>
      <c r="AN9" s="3" t="str">
        <f>IF('Input-EWEMs'!$D59="", "",IFERROR('Input-EWEMs'!R59*INDEX(Assumptions!$H$6:$H$22,MATCH('Input-EWEMs'!R$11,Assumptions!$C$6:$C$22,0)),0)+IFERROR('Input-EWEMs'!S59*INDEX(Assumptions!$H$6:$H$22,MATCH('Input-EWEMs'!S$11,Assumptions!$C$6:$C$22,0)),0)+IFERROR('Input-EWEMs'!T59*INDEX(Assumptions!$H$6:$H$22,MATCH('Input-EWEMs'!T$11,Assumptions!$C$6:$C$22,0)),0))</f>
        <v/>
      </c>
    </row>
    <row r="10" spans="1:40">
      <c r="A10" s="3"/>
      <c r="B10" s="116" t="str">
        <f>IF('Input-EWEMs'!$D60="", "",INDEX('Lender Validation'!$B$41:$B$70, MATCH($C10, 'Lender Validation'!$C$41:$C$70, 0)))</f>
        <v/>
      </c>
      <c r="C10" s="3" t="str">
        <f>IF('Input-EWEMs'!$D60="", "", 'Input-EWEMs'!C60)</f>
        <v/>
      </c>
      <c r="D10" s="3" t="str">
        <f>IF('Input-EWEMs'!$D60="", "", 'Input-EWEMs'!D60)</f>
        <v/>
      </c>
      <c r="E10" s="3" t="str">
        <f>IF('Input-EWEMs'!$D60="", "", IFERROR(INDEX('Reference-MeasureList'!$O$47:$O$50,MATCH('Input-EWEMs'!E60,'Reference-MeasureList'!$J$47:$J$50,0)),'Input-EWEMs'!E60))</f>
        <v/>
      </c>
      <c r="F10" s="3" t="str">
        <f>IF('Input-EWEMs'!$D60="", "", 'Input-EWEMs'!F60)</f>
        <v/>
      </c>
      <c r="G10" s="3" t="str">
        <f>IF('Input-EWEMs'!$D60="", "", 'Input-EWEMs'!G60)</f>
        <v/>
      </c>
      <c r="H10" s="3" t="str">
        <f>IF('Input-EWEMs'!$H60="", "", 'Input-EWEMs'!H60)</f>
        <v/>
      </c>
      <c r="I10" s="3" t="str">
        <f>IF('Input-EWEMs'!$I60="", "", 'Input-EWEMs'!I60)</f>
        <v/>
      </c>
      <c r="J10" s="3" t="str">
        <f>IF('Input-EWEMs'!$I60="", "", I10/'DB-Properties'!$K$2)</f>
        <v/>
      </c>
      <c r="K10" s="116" t="str">
        <f>IF('Input-EWEMs'!$D60="", "",ROUND('Input-EWEMs'!K60,0))</f>
        <v/>
      </c>
      <c r="L10" s="116" t="str">
        <f>IF('Input-EWEMs'!$D60="", "",SUM(O10,R10))</f>
        <v/>
      </c>
      <c r="M10" s="116" t="str">
        <f>IF('Input-EWEMs'!$D60="", "",ROUND('Input-EWEMs'!L60,0))</f>
        <v/>
      </c>
      <c r="N10" s="116" t="str">
        <f>IF('Input-EWEMs'!$D60="", "",ROUND('Input-EWEMs'!M60,0))</f>
        <v/>
      </c>
      <c r="O10" s="116" t="str">
        <f>IF('Input-EWEMs'!$D60="", "",ROUND('Input-EWEMs'!N60,0))</f>
        <v/>
      </c>
      <c r="P10" s="116" t="str">
        <f>IF('Input-EWEMs'!$D60="", "",ROUND('Input-EWEMs'!O60,0))</f>
        <v/>
      </c>
      <c r="Q10" s="116" t="str">
        <f>IF('Input-EWEMs'!$D60="", "",ROUND('Input-EWEMs'!P60,0))</f>
        <v/>
      </c>
      <c r="R10" s="116" t="str">
        <f>IF('Input-EWEMs'!$D60="", "",ROUND('Input-EWEMs'!Q60,0))</f>
        <v/>
      </c>
      <c r="S10" s="116" t="str">
        <f>IF('Input-EWEMs'!$D60="", "",'Input-EWEMs'!V60)</f>
        <v/>
      </c>
      <c r="T10" s="116" t="str">
        <f>IF('Input-EWEMs'!$D60="", "",IFERROR(INDEX('Input-EWEMs'!$W60:$X60,MATCH("Natural Gas",'Input-EWEMs'!$W$10:$X$10,0)),0))</f>
        <v/>
      </c>
      <c r="U10" s="116" t="str">
        <f>IF('Input-EWEMs'!$D60="", "",IFERROR(INDEX('Input-EWEMs'!$W60:$X60,MATCH("Fuel Oil #2",'Input-EWEMs'!$W$10:$X$10,0)),0))</f>
        <v/>
      </c>
      <c r="V10" s="116" t="str">
        <f>IF('Input-EWEMs'!$D60="", "",IFERROR(INDEX('Input-EWEMs'!$W60:$X60,MATCH("Fuel Oil #4",'Input-EWEMs'!$W$10:$X$10,0)),0))</f>
        <v/>
      </c>
      <c r="W10" s="116" t="str">
        <f>IF('Input-EWEMs'!$D60="", "",IFERROR(INDEX('Input-EWEMs'!$W60:$X60,MATCH("Fuel Oil #6",'Input-EWEMs'!$W$10:$X$10,0)),0))</f>
        <v/>
      </c>
      <c r="X10" s="116" t="str">
        <f>IF('Input-EWEMs'!$D60="", "",IFERROR(INDEX('Input-EWEMs'!$W60:$X60,MATCH("District Steam",'Input-EWEMs'!$W$10:$X$10,0)),0))</f>
        <v/>
      </c>
      <c r="Y10" s="116" t="str">
        <f>IF('Input-EWEMs'!$D60="", "",IFERROR(INDEX('Input-EWEMs'!$W60:$X60,MATCH("Propane",'Input-EWEMs'!$W$10:$X$10,0)),0))</f>
        <v/>
      </c>
      <c r="Z10" s="116" t="str">
        <f>IF('Input-EWEMs'!$D60="", "",'Input-EWEMs'!Y60)</f>
        <v/>
      </c>
      <c r="AA10" s="116" t="str">
        <f>IF('Input-EWEMs'!$D60="", "",IFERROR(INDEX('Input-EWEMs'!$Z60:$AA60,MATCH("Natural Gas",'Input-EWEMs'!$Z$10:$AA$10,0)),0))</f>
        <v/>
      </c>
      <c r="AB10" s="116" t="str">
        <f>IF('Input-EWEMs'!$D60="", "",IFERROR(INDEX('Input-EWEMs'!$Z60:$AA60,MATCH("Fuel Oil #2",'Input-EWEMs'!$Z$10:$AA$10,0)),0))</f>
        <v/>
      </c>
      <c r="AC10" s="116" t="str">
        <f>IF('Input-EWEMs'!$D60="", "",IFERROR(INDEX('Input-EWEMs'!$Z60:$AA60,MATCH("Fuel Oil #4",'Input-EWEMs'!$Z$10:$AA$10,0)),0))</f>
        <v/>
      </c>
      <c r="AD10" s="116" t="str">
        <f>IF('Input-EWEMs'!$D60="", "",IFERROR(INDEX('Input-EWEMs'!$Z60:$AA60,MATCH("Fuel Oil #6",'Input-EWEMs'!$Z$10:$AA$10,0)),0))</f>
        <v/>
      </c>
      <c r="AE10" s="116" t="str">
        <f>IF('Input-EWEMs'!$D60="", "",IFERROR(INDEX('Input-EWEMs'!$Z60:$AA60,MATCH("District Steam",'Input-EWEMs'!$Z$10:$AA$10,0)),0))</f>
        <v/>
      </c>
      <c r="AF10" s="116" t="str">
        <f>IF('Input-EWEMs'!$D60="", "",IFERROR(INDEX('Input-EWEMs'!$Z60:$AA60,MATCH("Propane",'Input-EWEMs'!$Z$10:$AA$10,0)),0))</f>
        <v/>
      </c>
      <c r="AG10" s="116" t="str">
        <f>IF('Input-EWEMs'!$D60="", "",SUM(S10:Y10))</f>
        <v/>
      </c>
      <c r="AH10" s="116" t="str">
        <f>IF('Input-EWEMs'!$D60="", "",SUM(Z10:AF10))</f>
        <v/>
      </c>
      <c r="AI10" s="116" t="str">
        <f>IF('Input-EWEMs'!$D60="", "",'Input-EWEMs'!AD60)</f>
        <v/>
      </c>
      <c r="AJ10" s="3" t="str">
        <f>IF('Input-EWEMs'!$D60="", "",'Input-EWEMs'!AF60)</f>
        <v/>
      </c>
      <c r="AK10" s="3" t="str">
        <f>IF('Input-EWEMs'!$D60="", "",'Input-EWEMs'!AG60)</f>
        <v/>
      </c>
      <c r="AL10" s="3" t="str">
        <f>IF('Input-EWEMs'!$D60="", "",'Input-EWEMs'!AH60)</f>
        <v/>
      </c>
      <c r="AM10" s="3" t="str">
        <f t="shared" si="0"/>
        <v/>
      </c>
      <c r="AN10" s="3" t="str">
        <f>IF('Input-EWEMs'!$D60="", "",IFERROR('Input-EWEMs'!R60*INDEX(Assumptions!$H$6:$H$22,MATCH('Input-EWEMs'!R$11,Assumptions!$C$6:$C$22,0)),0)+IFERROR('Input-EWEMs'!S60*INDEX(Assumptions!$H$6:$H$22,MATCH('Input-EWEMs'!S$11,Assumptions!$C$6:$C$22,0)),0)+IFERROR('Input-EWEMs'!T60*INDEX(Assumptions!$H$6:$H$22,MATCH('Input-EWEMs'!T$11,Assumptions!$C$6:$C$22,0)),0))</f>
        <v/>
      </c>
    </row>
    <row r="11" spans="1:40">
      <c r="A11" s="3"/>
      <c r="B11" s="116" t="str">
        <f>IF('Input-EWEMs'!$D61="", "",INDEX('Lender Validation'!$B$41:$B$70, MATCH($C11, 'Lender Validation'!$C$41:$C$70, 0)))</f>
        <v/>
      </c>
      <c r="C11" s="3" t="str">
        <f>IF('Input-EWEMs'!$D61="", "", 'Input-EWEMs'!C61)</f>
        <v/>
      </c>
      <c r="D11" s="3" t="str">
        <f>IF('Input-EWEMs'!$D61="", "", 'Input-EWEMs'!D61)</f>
        <v/>
      </c>
      <c r="E11" s="3" t="str">
        <f>IF('Input-EWEMs'!$D61="", "", IFERROR(INDEX('Reference-MeasureList'!$O$47:$O$50,MATCH('Input-EWEMs'!E61,'Reference-MeasureList'!$J$47:$J$50,0)),'Input-EWEMs'!E61))</f>
        <v/>
      </c>
      <c r="F11" s="3" t="str">
        <f>IF('Input-EWEMs'!$D61="", "", 'Input-EWEMs'!F61)</f>
        <v/>
      </c>
      <c r="G11" s="3" t="str">
        <f>IF('Input-EWEMs'!$D61="", "", 'Input-EWEMs'!G61)</f>
        <v/>
      </c>
      <c r="H11" s="3" t="str">
        <f>IF('Input-EWEMs'!$H61="", "", 'Input-EWEMs'!H61)</f>
        <v/>
      </c>
      <c r="I11" s="3" t="str">
        <f>IF('Input-EWEMs'!$I61="", "", 'Input-EWEMs'!I61)</f>
        <v/>
      </c>
      <c r="J11" s="3" t="str">
        <f>IF('Input-EWEMs'!$I61="", "", I11/'DB-Properties'!$K$2)</f>
        <v/>
      </c>
      <c r="K11" s="116" t="str">
        <f>IF('Input-EWEMs'!$D61="", "",ROUND('Input-EWEMs'!K61,0))</f>
        <v/>
      </c>
      <c r="L11" s="116" t="str">
        <f>IF('Input-EWEMs'!$D61="", "",SUM(O11,R11))</f>
        <v/>
      </c>
      <c r="M11" s="116" t="str">
        <f>IF('Input-EWEMs'!$D61="", "",ROUND('Input-EWEMs'!L61,0))</f>
        <v/>
      </c>
      <c r="N11" s="116" t="str">
        <f>IF('Input-EWEMs'!$D61="", "",ROUND('Input-EWEMs'!M61,0))</f>
        <v/>
      </c>
      <c r="O11" s="116" t="str">
        <f>IF('Input-EWEMs'!$D61="", "",ROUND('Input-EWEMs'!N61,0))</f>
        <v/>
      </c>
      <c r="P11" s="116" t="str">
        <f>IF('Input-EWEMs'!$D61="", "",ROUND('Input-EWEMs'!O61,0))</f>
        <v/>
      </c>
      <c r="Q11" s="116" t="str">
        <f>IF('Input-EWEMs'!$D61="", "",ROUND('Input-EWEMs'!P61,0))</f>
        <v/>
      </c>
      <c r="R11" s="116" t="str">
        <f>IF('Input-EWEMs'!$D61="", "",ROUND('Input-EWEMs'!Q61,0))</f>
        <v/>
      </c>
      <c r="S11" s="116" t="str">
        <f>IF('Input-EWEMs'!$D61="", "",'Input-EWEMs'!V61)</f>
        <v/>
      </c>
      <c r="T11" s="116" t="str">
        <f>IF('Input-EWEMs'!$D61="", "",IFERROR(INDEX('Input-EWEMs'!$W61:$X61,MATCH("Natural Gas",'Input-EWEMs'!$W$10:$X$10,0)),0))</f>
        <v/>
      </c>
      <c r="U11" s="116" t="str">
        <f>IF('Input-EWEMs'!$D61="", "",IFERROR(INDEX('Input-EWEMs'!$W61:$X61,MATCH("Fuel Oil #2",'Input-EWEMs'!$W$10:$X$10,0)),0))</f>
        <v/>
      </c>
      <c r="V11" s="116" t="str">
        <f>IF('Input-EWEMs'!$D61="", "",IFERROR(INDEX('Input-EWEMs'!$W61:$X61,MATCH("Fuel Oil #4",'Input-EWEMs'!$W$10:$X$10,0)),0))</f>
        <v/>
      </c>
      <c r="W11" s="116" t="str">
        <f>IF('Input-EWEMs'!$D61="", "",IFERROR(INDEX('Input-EWEMs'!$W61:$X61,MATCH("Fuel Oil #6",'Input-EWEMs'!$W$10:$X$10,0)),0))</f>
        <v/>
      </c>
      <c r="X11" s="116" t="str">
        <f>IF('Input-EWEMs'!$D61="", "",IFERROR(INDEX('Input-EWEMs'!$W61:$X61,MATCH("District Steam",'Input-EWEMs'!$W$10:$X$10,0)),0))</f>
        <v/>
      </c>
      <c r="Y11" s="116" t="str">
        <f>IF('Input-EWEMs'!$D61="", "",IFERROR(INDEX('Input-EWEMs'!$W61:$X61,MATCH("Propane",'Input-EWEMs'!$W$10:$X$10,0)),0))</f>
        <v/>
      </c>
      <c r="Z11" s="116" t="str">
        <f>IF('Input-EWEMs'!$D61="", "",'Input-EWEMs'!Y61)</f>
        <v/>
      </c>
      <c r="AA11" s="116" t="str">
        <f>IF('Input-EWEMs'!$D61="", "",IFERROR(INDEX('Input-EWEMs'!$Z61:$AA61,MATCH("Natural Gas",'Input-EWEMs'!$Z$10:$AA$10,0)),0))</f>
        <v/>
      </c>
      <c r="AB11" s="116" t="str">
        <f>IF('Input-EWEMs'!$D61="", "",IFERROR(INDEX('Input-EWEMs'!$Z61:$AA61,MATCH("Fuel Oil #2",'Input-EWEMs'!$Z$10:$AA$10,0)),0))</f>
        <v/>
      </c>
      <c r="AC11" s="116" t="str">
        <f>IF('Input-EWEMs'!$D61="", "",IFERROR(INDEX('Input-EWEMs'!$Z61:$AA61,MATCH("Fuel Oil #4",'Input-EWEMs'!$Z$10:$AA$10,0)),0))</f>
        <v/>
      </c>
      <c r="AD11" s="116" t="str">
        <f>IF('Input-EWEMs'!$D61="", "",IFERROR(INDEX('Input-EWEMs'!$Z61:$AA61,MATCH("Fuel Oil #6",'Input-EWEMs'!$Z$10:$AA$10,0)),0))</f>
        <v/>
      </c>
      <c r="AE11" s="116" t="str">
        <f>IF('Input-EWEMs'!$D61="", "",IFERROR(INDEX('Input-EWEMs'!$Z61:$AA61,MATCH("District Steam",'Input-EWEMs'!$Z$10:$AA$10,0)),0))</f>
        <v/>
      </c>
      <c r="AF11" s="116" t="str">
        <f>IF('Input-EWEMs'!$D61="", "",IFERROR(INDEX('Input-EWEMs'!$Z61:$AA61,MATCH("Propane",'Input-EWEMs'!$Z$10:$AA$10,0)),0))</f>
        <v/>
      </c>
      <c r="AG11" s="116" t="str">
        <f>IF('Input-EWEMs'!$D61="", "",SUM(S11:Y11))</f>
        <v/>
      </c>
      <c r="AH11" s="116" t="str">
        <f>IF('Input-EWEMs'!$D61="", "",SUM(Z11:AF11))</f>
        <v/>
      </c>
      <c r="AI11" s="116" t="str">
        <f>IF('Input-EWEMs'!$D61="", "",'Input-EWEMs'!AD61)</f>
        <v/>
      </c>
      <c r="AJ11" s="3" t="str">
        <f>IF('Input-EWEMs'!$D61="", "",'Input-EWEMs'!AF61)</f>
        <v/>
      </c>
      <c r="AK11" s="3" t="str">
        <f>IF('Input-EWEMs'!$D61="", "",'Input-EWEMs'!AG61)</f>
        <v/>
      </c>
      <c r="AL11" s="3" t="str">
        <f>IF('Input-EWEMs'!$D61="", "",'Input-EWEMs'!AH61)</f>
        <v/>
      </c>
      <c r="AM11" s="3" t="str">
        <f t="shared" si="0"/>
        <v/>
      </c>
      <c r="AN11" s="3" t="str">
        <f>IF('Input-EWEMs'!$D61="", "",IFERROR('Input-EWEMs'!R61*INDEX(Assumptions!$H$6:$H$22,MATCH('Input-EWEMs'!R$11,Assumptions!$C$6:$C$22,0)),0)+IFERROR('Input-EWEMs'!S61*INDEX(Assumptions!$H$6:$H$22,MATCH('Input-EWEMs'!S$11,Assumptions!$C$6:$C$22,0)),0)+IFERROR('Input-EWEMs'!T61*INDEX(Assumptions!$H$6:$H$22,MATCH('Input-EWEMs'!T$11,Assumptions!$C$6:$C$22,0)),0))</f>
        <v/>
      </c>
    </row>
    <row r="12" spans="1:40">
      <c r="L12" s="49"/>
      <c r="M12" s="49"/>
      <c r="N12" s="49"/>
      <c r="O12" s="49"/>
      <c r="P12" s="49"/>
      <c r="Q12" s="49"/>
      <c r="R12" s="49"/>
      <c r="AL12" s="49"/>
      <c r="AM12" s="49"/>
    </row>
    <row r="13" spans="1:40">
      <c r="L13" s="4"/>
      <c r="M13" s="4"/>
      <c r="N13" s="4"/>
      <c r="O13" s="4"/>
      <c r="P13" s="4"/>
      <c r="Q13" s="4"/>
      <c r="R13" s="4"/>
    </row>
  </sheetData>
  <pageMargins left="0.7" right="0.7" top="0.75" bottom="0.75" header="0.3" footer="0.3"/>
  <pageSetup orientation="portrait"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34998626667073579"/>
    <pageSetUpPr autoPageBreaks="0"/>
  </sheetPr>
  <dimension ref="A1:O28"/>
  <sheetViews>
    <sheetView showGridLines="0" zoomScale="90" zoomScaleNormal="90" workbookViewId="0">
      <selection activeCell="E25" sqref="E25"/>
    </sheetView>
  </sheetViews>
  <sheetFormatPr defaultColWidth="9.28515625" defaultRowHeight="12"/>
  <cols>
    <col min="1" max="1" width="2.28515625" style="351" customWidth="1"/>
    <col min="2" max="2" width="16" style="214" customWidth="1"/>
    <col min="3" max="3" width="34.5703125" style="213" customWidth="1"/>
    <col min="4" max="4" width="16.42578125" style="213" customWidth="1"/>
    <col min="5" max="6" width="14.7109375" style="213" customWidth="1"/>
    <col min="7" max="7" width="17.42578125" style="213" customWidth="1"/>
    <col min="8" max="8" width="18" style="213" customWidth="1"/>
    <col min="9" max="9" width="17.28515625" style="213" customWidth="1"/>
    <col min="10" max="10" width="10.5703125" style="213" customWidth="1"/>
    <col min="11" max="11" width="11.7109375" style="213" customWidth="1"/>
    <col min="12" max="16384" width="9.28515625" style="213"/>
  </cols>
  <sheetData>
    <row r="1" spans="1:15" s="187" customFormat="1" ht="23.25" customHeight="1">
      <c r="A1" s="188"/>
      <c r="B1" s="185" t="s">
        <v>367</v>
      </c>
      <c r="C1" s="186"/>
      <c r="D1" s="186"/>
      <c r="E1" s="186"/>
      <c r="F1" s="186"/>
      <c r="G1" s="186"/>
      <c r="H1" s="186"/>
      <c r="I1" s="186"/>
      <c r="L1" s="207"/>
    </row>
    <row r="2" spans="1:15" s="187" customFormat="1" ht="15" customHeight="1">
      <c r="A2" s="207"/>
      <c r="C2" s="207"/>
      <c r="D2" s="207"/>
      <c r="E2" s="207"/>
      <c r="F2" s="207"/>
      <c r="G2" s="207"/>
      <c r="H2" s="207"/>
      <c r="I2" s="207"/>
      <c r="J2" s="207"/>
      <c r="K2" s="207"/>
    </row>
    <row r="3" spans="1:15" s="188" customFormat="1" ht="26.25">
      <c r="B3" s="208" t="s">
        <v>322</v>
      </c>
      <c r="F3" s="186"/>
    </row>
    <row r="4" spans="1:15" s="187" customFormat="1" ht="19.5" customHeight="1">
      <c r="A4" s="188"/>
      <c r="B4" s="871" t="s">
        <v>824</v>
      </c>
      <c r="C4" s="871"/>
      <c r="D4" s="871"/>
      <c r="E4" s="871"/>
      <c r="F4" s="871"/>
      <c r="G4" s="871"/>
      <c r="H4" s="871"/>
      <c r="I4" s="871"/>
      <c r="J4" s="871"/>
      <c r="K4" s="711"/>
      <c r="L4" s="711"/>
      <c r="M4" s="711"/>
      <c r="N4" s="711"/>
      <c r="O4" s="711"/>
    </row>
    <row r="5" spans="1:15">
      <c r="A5" s="213"/>
      <c r="B5" s="215"/>
      <c r="C5" s="215"/>
    </row>
    <row r="6" spans="1:15" ht="23.25" customHeight="1">
      <c r="B6" s="255" t="s">
        <v>323</v>
      </c>
      <c r="C6" s="256"/>
      <c r="D6" s="256"/>
      <c r="E6" s="256"/>
      <c r="F6" s="256"/>
    </row>
    <row r="7" spans="1:15" ht="16.5" customHeight="1">
      <c r="B7" s="255"/>
      <c r="C7" s="256"/>
      <c r="D7" s="256"/>
      <c r="E7" s="1035" t="s">
        <v>241</v>
      </c>
      <c r="F7" s="1035"/>
      <c r="G7" s="1043" t="s">
        <v>242</v>
      </c>
      <c r="H7" s="878"/>
      <c r="I7" s="878"/>
      <c r="J7" s="1044"/>
    </row>
    <row r="8" spans="1:15" ht="39.75" customHeight="1">
      <c r="B8" s="237" t="s">
        <v>28</v>
      </c>
      <c r="C8" s="257" t="s">
        <v>40</v>
      </c>
      <c r="D8" s="712" t="s">
        <v>687</v>
      </c>
      <c r="E8" s="237" t="s">
        <v>243</v>
      </c>
      <c r="F8" s="238" t="s">
        <v>244</v>
      </c>
      <c r="G8" s="237" t="s">
        <v>245</v>
      </c>
      <c r="H8" s="257" t="s">
        <v>246</v>
      </c>
      <c r="I8" s="713" t="s">
        <v>247</v>
      </c>
      <c r="J8" s="238" t="s">
        <v>19</v>
      </c>
    </row>
    <row r="9" spans="1:15" s="724" customFormat="1" ht="40.5" customHeight="1">
      <c r="A9" s="351"/>
      <c r="B9" s="714" t="s">
        <v>2</v>
      </c>
      <c r="C9" s="715" t="str">
        <f>"Includes "&amp;IF('DB-Utilities'!AA2=TRUE,"cooling, ","")&amp;IF('DB-Utilities'!AB2=TRUE,"heating, ","")&amp;IF('DB-Utilities'!AC2=TRUE,"hot water, ","")&amp;IF('DB-Utilities'!AG2="","", LOWER('DB-Utilities'!AG2)&amp;", ")&amp; "lighting, appliances, and other plug loads"</f>
        <v>Includes lighting, appliances, and other plug loads</v>
      </c>
      <c r="D9" s="716" t="str">
        <f>IF(AND('Input-Utilities'!D10&gt;0,'Input-Utilities'!G10&gt;0),"Owner and Tenant",IF('Input-Utilities'!D10&gt;0,"Owner",IF('Input-Utilities'!G10&gt;0,"Tenant","n/a")))</f>
        <v>n/a</v>
      </c>
      <c r="E9" s="717">
        <f>'Input-Utilities'!D10</f>
        <v>0</v>
      </c>
      <c r="F9" s="718">
        <f>'Input-Utilities'!G10</f>
        <v>0</v>
      </c>
      <c r="G9" s="719">
        <f>'Input-Utilities'!E10</f>
        <v>0</v>
      </c>
      <c r="H9" s="720">
        <f>'Input-Utilities'!H10</f>
        <v>0</v>
      </c>
      <c r="I9" s="721">
        <f>SUM(G9:H9)</f>
        <v>0</v>
      </c>
      <c r="J9" s="722" t="str">
        <f>'Input-Utilities'!F10</f>
        <v>kWh</v>
      </c>
      <c r="K9" s="723" t="str">
        <f t="shared" ref="K9:K10" si="0">IF(OR(B9="n/a", B9=0), "← Hide this row", "")</f>
        <v/>
      </c>
    </row>
    <row r="10" spans="1:15" s="724" customFormat="1" ht="40.5" customHeight="1">
      <c r="A10" s="725"/>
      <c r="B10" s="726">
        <f>'Input-Utilities'!C11</f>
        <v>0</v>
      </c>
      <c r="C10" s="727" t="str">
        <f>IF(('DB-Utilities'!AA3=FALSE)*('DB-Utilities'!AB3=FALSE)*('DB-Utilities'!AC3=FALSE)*('DB-Utilities'!AG3=""), "n/a","Includes "&amp;IF('DB-Utilities'!AA3=TRUE,"cooling","")&amp;IF(AND('DB-Utilities'!AA3=TRUE,'DB-Utilities'!AB3=TRUE),", heating",IF('DB-Utilities'!AB3=TRUE,"heating",""))&amp;IF(AND('DB-Utilities'!AC3=TRUE,OR('DB-Utilities'!AA3=TRUE,'DB-Utilities'!AB3=TRUE)),", hot water",IF('DB-Utilities'!AC3=TRUE,"hot water",""))
&amp;IF(AND('DB-Utilities'!AG3&lt;&gt;"",OR('DB-Utilities'!AA3=TRUE,'DB-Utilities'!AB3=TRUE, 'DB-Utilities'!AC3=TRUE)),", "&amp;LOWER('DB-Utilities'!AG3),IF('DB-Utilities'!AG3&lt;&gt;"",LOWER('DB-Utilities'!AG3),"")))</f>
        <v>n/a</v>
      </c>
      <c r="D10" s="728" t="str">
        <f>IF(AND('Input-Utilities'!D11&gt;0,'Input-Utilities'!G11&gt;0),"Owner and Tenant",IF('Input-Utilities'!D11&gt;0,"Owner",IF('Input-Utilities'!G11&gt;0,"Tenant","n/a")))</f>
        <v>n/a</v>
      </c>
      <c r="E10" s="729">
        <f>'Input-Utilities'!D11</f>
        <v>0</v>
      </c>
      <c r="F10" s="730">
        <f>'Input-Utilities'!G11</f>
        <v>0</v>
      </c>
      <c r="G10" s="731">
        <f>'Input-Utilities'!E11</f>
        <v>0</v>
      </c>
      <c r="H10" s="732">
        <f>'Input-Utilities'!H11</f>
        <v>0</v>
      </c>
      <c r="I10" s="721">
        <f t="shared" ref="I10:I12" si="1">SUM(G10:H10)</f>
        <v>0</v>
      </c>
      <c r="J10" s="733">
        <f>'Input-Utilities'!F11</f>
        <v>0</v>
      </c>
      <c r="K10" s="723" t="str">
        <f t="shared" si="0"/>
        <v>← Hide this row</v>
      </c>
    </row>
    <row r="11" spans="1:15" s="724" customFormat="1" ht="40.5" customHeight="1">
      <c r="A11" s="725"/>
      <c r="B11" s="726">
        <f>'Input-Utilities'!C12</f>
        <v>0</v>
      </c>
      <c r="C11" s="727" t="str">
        <f>IF(('DB-Utilities'!AA4=FALSE)*('DB-Utilities'!AB4=FALSE)*('DB-Utilities'!AC4=FALSE)*('DB-Utilities'!AG4=""), "n/a","Includes "&amp;IF('DB-Utilities'!AA4=TRUE,"cooling","")&amp;IF(AND('DB-Utilities'!AA4=TRUE,'DB-Utilities'!AB4=TRUE),", heating",IF('DB-Utilities'!AB4=TRUE,"heating",""))&amp;IF(AND('DB-Utilities'!AC4=TRUE,OR('DB-Utilities'!AA4=TRUE,'DB-Utilities'!AB4=TRUE)),", hot water",IF('DB-Utilities'!AC4=TRUE,"hot water",""))
&amp;IF(AND('DB-Utilities'!AG4&lt;&gt;"",OR('DB-Utilities'!AA4=TRUE,'DB-Utilities'!AB4=TRUE, 'DB-Utilities'!AC4=TRUE)),", "&amp;LOWER('DB-Utilities'!AG4),IF('DB-Utilities'!AG4&lt;&gt;"",LOWER('DB-Utilities'!AG4),"")))</f>
        <v>n/a</v>
      </c>
      <c r="D11" s="728" t="str">
        <f>IF(AND('Input-Utilities'!D12&gt;0,'Input-Utilities'!G12&gt;0),"Owner and Tenant",IF('Input-Utilities'!D12&gt;0,"Owner",IF('Input-Utilities'!G12&gt;0,"Tenant","n/a")))</f>
        <v>n/a</v>
      </c>
      <c r="E11" s="729">
        <f>'Input-Utilities'!D12</f>
        <v>0</v>
      </c>
      <c r="F11" s="730">
        <f>'Input-Utilities'!G12</f>
        <v>0</v>
      </c>
      <c r="G11" s="731">
        <f>'Input-Utilities'!E12</f>
        <v>0</v>
      </c>
      <c r="H11" s="732">
        <f>'Input-Utilities'!H12</f>
        <v>0</v>
      </c>
      <c r="I11" s="721">
        <f t="shared" si="1"/>
        <v>0</v>
      </c>
      <c r="J11" s="733">
        <f>'Input-Utilities'!F12</f>
        <v>0</v>
      </c>
      <c r="K11" s="723" t="str">
        <f>IF(OR(B11="n/a", B11=0), "← Hide this row", "")</f>
        <v>← Hide this row</v>
      </c>
    </row>
    <row r="12" spans="1:15" s="724" customFormat="1" ht="40.5" customHeight="1">
      <c r="A12" s="725"/>
      <c r="B12" s="734" t="s">
        <v>25</v>
      </c>
      <c r="C12" s="735" t="str">
        <f>"Includes "&amp;IF('DB-Utilities'!AD5=TRUE,"landscape irrigation, ","")&amp;IF('DB-Utilities'!AE5=TRUE,"laundry, ","")&amp;IF('DB-Utilities'!AF5=TRUE,"dishwashers, ", "")&amp;IF('DB-Utilities'!AG5="","", LOWER('DB-Utilities'!AG5)&amp;", ")&amp;"toilets, showers, kitchen and bathroom faucets"</f>
        <v>Includes toilets, showers, kitchen and bathroom faucets</v>
      </c>
      <c r="D12" s="736" t="str">
        <f>IF(AND('Input-Utilities'!D13&gt;0,'Input-Utilities'!G13&gt;0),"Owner and Tenant",IF('Input-Utilities'!D13&gt;0,"Owner",IF('Input-Utilities'!G13&gt;0,"Tenant","n/a")))</f>
        <v>n/a</v>
      </c>
      <c r="E12" s="737">
        <f>'Input-Utilities'!D13</f>
        <v>0</v>
      </c>
      <c r="F12" s="738">
        <f>'Input-Utilities'!G13</f>
        <v>0</v>
      </c>
      <c r="G12" s="739">
        <f>'Input-Utilities'!E13</f>
        <v>0</v>
      </c>
      <c r="H12" s="740">
        <f>'Input-Utilities'!H13</f>
        <v>0</v>
      </c>
      <c r="I12" s="741">
        <f t="shared" si="1"/>
        <v>0</v>
      </c>
      <c r="J12" s="742">
        <f>'Input-Utilities'!F13</f>
        <v>0</v>
      </c>
      <c r="K12" s="723" t="str">
        <f t="shared" ref="K12" si="2">IF(OR(B12="n/a", B12=0), "← Hide this row", "")</f>
        <v/>
      </c>
    </row>
    <row r="13" spans="1:15" ht="24.75" customHeight="1">
      <c r="A13" s="725"/>
      <c r="B13" s="1038" t="s">
        <v>240</v>
      </c>
      <c r="C13" s="1039"/>
      <c r="D13" s="1040"/>
      <c r="E13" s="743">
        <f>SUM(E9:E12)</f>
        <v>0</v>
      </c>
      <c r="F13" s="744">
        <f>SUM(F9:F12)</f>
        <v>0</v>
      </c>
      <c r="G13" s="1036" t="s">
        <v>271</v>
      </c>
      <c r="H13" s="1037"/>
      <c r="I13" s="745">
        <f>'Input-Utilities'!L14</f>
        <v>0</v>
      </c>
      <c r="J13" s="746" t="s">
        <v>224</v>
      </c>
    </row>
    <row r="14" spans="1:15" ht="27" customHeight="1">
      <c r="A14" s="725"/>
      <c r="B14" s="1038" t="s">
        <v>239</v>
      </c>
      <c r="C14" s="1039"/>
      <c r="D14" s="1040"/>
      <c r="E14" s="1041">
        <f>SUM(E13:F13)</f>
        <v>0</v>
      </c>
      <c r="F14" s="1042"/>
      <c r="G14" s="1036" t="s">
        <v>272</v>
      </c>
      <c r="H14" s="1037"/>
      <c r="I14" s="745" t="str">
        <f>'Input-Utilities'!L15</f>
        <v/>
      </c>
      <c r="J14" s="746" t="s">
        <v>15</v>
      </c>
    </row>
    <row r="15" spans="1:15">
      <c r="A15" s="725"/>
      <c r="C15" s="724"/>
    </row>
    <row r="16" spans="1:15">
      <c r="A16" s="725"/>
    </row>
    <row r="17" spans="1:7">
      <c r="A17" s="725"/>
    </row>
    <row r="18" spans="1:7">
      <c r="A18" s="725"/>
      <c r="G18" s="213" t="s">
        <v>109</v>
      </c>
    </row>
    <row r="19" spans="1:7">
      <c r="A19" s="725"/>
    </row>
    <row r="20" spans="1:7">
      <c r="A20" s="725"/>
    </row>
    <row r="21" spans="1:7">
      <c r="A21" s="725"/>
    </row>
    <row r="22" spans="1:7">
      <c r="A22" s="725"/>
    </row>
    <row r="23" spans="1:7">
      <c r="A23" s="725"/>
    </row>
    <row r="24" spans="1:7">
      <c r="A24" s="725"/>
    </row>
    <row r="25" spans="1:7">
      <c r="A25" s="725"/>
    </row>
    <row r="26" spans="1:7">
      <c r="A26" s="725"/>
    </row>
    <row r="27" spans="1:7">
      <c r="A27" s="725"/>
    </row>
    <row r="28" spans="1:7">
      <c r="A28" s="725"/>
    </row>
  </sheetData>
  <sheetProtection algorithmName="SHA-512" hashValue="lm9bp7c8Cy3xDbb1I2ZadjWMHTBy0G50OTuP4B878IthErfWRFuicM0P7E6owOtUHF6+28siG9oVk206xJvCxQ==" saltValue="J4oC4KgG2HXh+V/a/7aQdg==" spinCount="100000" sheet="1" formatRows="0"/>
  <mergeCells count="8">
    <mergeCell ref="B4:J4"/>
    <mergeCell ref="E7:F7"/>
    <mergeCell ref="G13:H13"/>
    <mergeCell ref="B14:D14"/>
    <mergeCell ref="G14:H14"/>
    <mergeCell ref="E14:F14"/>
    <mergeCell ref="B13:D13"/>
    <mergeCell ref="G7:J7"/>
  </mergeCells>
  <pageMargins left="0.7" right="0.7" top="0.75" bottom="0.75" header="0.3" footer="0.3"/>
  <pageSetup paperSize="5" scale="84" orientation="landscape" r:id="rId1"/>
  <headerFooter>
    <oddFooter>&amp;L&amp;"Source Sans Pro,Regular"&amp;8© 2019 Fannie Mae. Trademarks of Fannie Mae.&amp;C&amp;"Source Sans Pro,Regular"&amp;8Form 4099.H - September 2019&amp;R&amp;"Source Sans Pro,Regular"&amp;8Page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autoPageBreaks="0"/>
  </sheetPr>
  <dimension ref="A1:P41"/>
  <sheetViews>
    <sheetView showGridLines="0" zoomScale="90" zoomScaleNormal="90" workbookViewId="0">
      <selection activeCell="G28" sqref="G28"/>
    </sheetView>
  </sheetViews>
  <sheetFormatPr defaultColWidth="9.28515625" defaultRowHeight="12"/>
  <cols>
    <col min="1" max="1" width="2.28515625" style="213" customWidth="1"/>
    <col min="2" max="2" width="8.42578125" style="213" customWidth="1"/>
    <col min="3" max="3" width="42.7109375" style="215" customWidth="1"/>
    <col min="4" max="4" width="14.7109375" style="215" customWidth="1"/>
    <col min="5" max="5" width="14.7109375" style="213" customWidth="1"/>
    <col min="6" max="6" width="15.28515625" style="213" customWidth="1"/>
    <col min="7" max="7" width="14.7109375" style="213" customWidth="1"/>
    <col min="8" max="8" width="12.5703125" style="213" customWidth="1"/>
    <col min="9" max="9" width="11.7109375" style="213" customWidth="1"/>
    <col min="10" max="16384" width="9.28515625" style="213"/>
  </cols>
  <sheetData>
    <row r="1" spans="1:16" s="187" customFormat="1" ht="23.25" customHeight="1">
      <c r="A1" s="188"/>
      <c r="B1" s="185" t="s">
        <v>367</v>
      </c>
      <c r="C1" s="186"/>
      <c r="D1" s="186"/>
      <c r="E1" s="186"/>
      <c r="F1" s="186"/>
      <c r="G1" s="186"/>
      <c r="H1" s="186"/>
      <c r="I1" s="186"/>
      <c r="L1" s="207"/>
    </row>
    <row r="2" spans="1:16" s="187" customFormat="1" ht="15" customHeight="1">
      <c r="C2" s="207"/>
      <c r="D2" s="207"/>
      <c r="E2" s="207"/>
      <c r="F2" s="207"/>
      <c r="G2" s="207"/>
      <c r="H2" s="207"/>
      <c r="I2" s="207"/>
      <c r="J2" s="747"/>
      <c r="K2" s="207"/>
      <c r="L2" s="207"/>
    </row>
    <row r="3" spans="1:16" s="188" customFormat="1" ht="26.25">
      <c r="B3" s="208" t="s">
        <v>326</v>
      </c>
      <c r="G3" s="186"/>
      <c r="J3" s="748"/>
    </row>
    <row r="4" spans="1:16" s="187" customFormat="1" ht="30" customHeight="1">
      <c r="A4" s="188"/>
      <c r="B4" s="871" t="s">
        <v>825</v>
      </c>
      <c r="C4" s="871"/>
      <c r="D4" s="871"/>
      <c r="E4" s="871"/>
      <c r="F4" s="871"/>
      <c r="G4" s="871"/>
      <c r="H4" s="871"/>
      <c r="I4" s="711"/>
      <c r="J4" s="749"/>
      <c r="K4" s="711"/>
      <c r="L4" s="711"/>
      <c r="M4" s="711"/>
      <c r="N4" s="711"/>
      <c r="O4" s="711"/>
      <c r="P4" s="711"/>
    </row>
    <row r="6" spans="1:16" ht="23.25" customHeight="1">
      <c r="B6" s="255" t="s">
        <v>481</v>
      </c>
      <c r="C6" s="256"/>
      <c r="D6" s="256"/>
      <c r="E6" s="256"/>
    </row>
    <row r="7" spans="1:16" ht="8.25" customHeight="1">
      <c r="B7" s="256"/>
      <c r="C7" s="256"/>
      <c r="D7" s="256"/>
      <c r="E7" s="256"/>
    </row>
    <row r="8" spans="1:16" s="210" customFormat="1" ht="24">
      <c r="B8" s="825" t="s">
        <v>315</v>
      </c>
      <c r="C8" s="820" t="s">
        <v>770</v>
      </c>
      <c r="D8" s="750" t="s">
        <v>276</v>
      </c>
      <c r="E8" s="605" t="s">
        <v>274</v>
      </c>
      <c r="F8" s="697" t="s">
        <v>275</v>
      </c>
      <c r="G8" s="696" t="s">
        <v>70</v>
      </c>
      <c r="H8" s="697" t="s">
        <v>22</v>
      </c>
      <c r="I8" s="351"/>
    </row>
    <row r="9" spans="1:16" s="210" customFormat="1" ht="12.75" customHeight="1">
      <c r="B9" s="826"/>
      <c r="C9" s="822"/>
      <c r="D9" s="751" t="s">
        <v>20</v>
      </c>
      <c r="E9" s="752" t="s">
        <v>20</v>
      </c>
      <c r="F9" s="753" t="s">
        <v>20</v>
      </c>
      <c r="G9" s="754" t="s">
        <v>71</v>
      </c>
      <c r="H9" s="753" t="s">
        <v>71</v>
      </c>
      <c r="I9" s="351"/>
    </row>
    <row r="10" spans="1:16" s="210" customFormat="1" ht="15" customHeight="1">
      <c r="B10" s="755">
        <v>1</v>
      </c>
      <c r="C10" s="756" t="str">
        <f>IF('Input-EWEMs'!F12="","", 'Input-EWEMs'!F12)</f>
        <v/>
      </c>
      <c r="D10" s="757">
        <f>'Input-EWEMs'!K12</f>
        <v>0</v>
      </c>
      <c r="E10" s="758">
        <f>SUM('Input-EWEMs'!L12:M12)</f>
        <v>0</v>
      </c>
      <c r="F10" s="759">
        <f>SUM('Input-EWEMs'!O12:P12)</f>
        <v>0</v>
      </c>
      <c r="G10" s="760" t="str">
        <f>'Input-EWEMs'!AF12</f>
        <v/>
      </c>
      <c r="H10" s="761" t="str">
        <f>'Input-EWEMs'!AG12</f>
        <v/>
      </c>
      <c r="I10" s="723" t="str">
        <f>IF(C10="", "← Hide this row", "")</f>
        <v>← Hide this row</v>
      </c>
    </row>
    <row r="11" spans="1:16" s="210" customFormat="1" ht="14.25">
      <c r="B11" s="762">
        <v>2</v>
      </c>
      <c r="C11" s="756" t="str">
        <f>IF('Input-EWEMs'!F13="","", 'Input-EWEMs'!F13)</f>
        <v/>
      </c>
      <c r="D11" s="757">
        <f>'Input-EWEMs'!K13</f>
        <v>0</v>
      </c>
      <c r="E11" s="758">
        <f>SUM('Input-EWEMs'!L13:M13)</f>
        <v>0</v>
      </c>
      <c r="F11" s="759">
        <f>SUM('Input-EWEMs'!O13:P13)</f>
        <v>0</v>
      </c>
      <c r="G11" s="760" t="str">
        <f>'Input-EWEMs'!AF13</f>
        <v/>
      </c>
      <c r="H11" s="761" t="str">
        <f>'Input-EWEMs'!AG13</f>
        <v/>
      </c>
      <c r="I11" s="723" t="str">
        <f t="shared" ref="I11:I28" si="0">IF(C11="", "← Hide this row", "")</f>
        <v>← Hide this row</v>
      </c>
    </row>
    <row r="12" spans="1:16" s="210" customFormat="1" ht="14.25">
      <c r="B12" s="762">
        <v>3</v>
      </c>
      <c r="C12" s="756" t="str">
        <f>IF('Input-EWEMs'!F14="","", 'Input-EWEMs'!F14)</f>
        <v/>
      </c>
      <c r="D12" s="757">
        <f>'Input-EWEMs'!K14</f>
        <v>0</v>
      </c>
      <c r="E12" s="758">
        <f>SUM('Input-EWEMs'!L14:M14)</f>
        <v>0</v>
      </c>
      <c r="F12" s="759">
        <f>SUM('Input-EWEMs'!O14:P14)</f>
        <v>0</v>
      </c>
      <c r="G12" s="760" t="str">
        <f>'Input-EWEMs'!AF14</f>
        <v/>
      </c>
      <c r="H12" s="761" t="str">
        <f>'Input-EWEMs'!AG14</f>
        <v/>
      </c>
      <c r="I12" s="723" t="str">
        <f t="shared" si="0"/>
        <v>← Hide this row</v>
      </c>
    </row>
    <row r="13" spans="1:16" s="210" customFormat="1" ht="14.25">
      <c r="B13" s="762">
        <v>4</v>
      </c>
      <c r="C13" s="756" t="str">
        <f>IF('Input-EWEMs'!F15="","", 'Input-EWEMs'!F15)</f>
        <v/>
      </c>
      <c r="D13" s="757">
        <f>'Input-EWEMs'!K15</f>
        <v>0</v>
      </c>
      <c r="E13" s="758">
        <f>SUM('Input-EWEMs'!L15:M15)</f>
        <v>0</v>
      </c>
      <c r="F13" s="759">
        <f>SUM('Input-EWEMs'!O15:P15)</f>
        <v>0</v>
      </c>
      <c r="G13" s="760" t="str">
        <f>'Input-EWEMs'!AF15</f>
        <v/>
      </c>
      <c r="H13" s="761" t="str">
        <f>'Input-EWEMs'!AG15</f>
        <v/>
      </c>
      <c r="I13" s="723" t="str">
        <f t="shared" si="0"/>
        <v>← Hide this row</v>
      </c>
    </row>
    <row r="14" spans="1:16" s="210" customFormat="1" ht="14.25">
      <c r="B14" s="762">
        <v>5</v>
      </c>
      <c r="C14" s="756" t="str">
        <f>IF('Input-EWEMs'!F16="","", 'Input-EWEMs'!F16)</f>
        <v/>
      </c>
      <c r="D14" s="757">
        <f>'Input-EWEMs'!K16</f>
        <v>0</v>
      </c>
      <c r="E14" s="758">
        <f>SUM('Input-EWEMs'!L16:M16)</f>
        <v>0</v>
      </c>
      <c r="F14" s="759">
        <f>SUM('Input-EWEMs'!O16:P16)</f>
        <v>0</v>
      </c>
      <c r="G14" s="760" t="str">
        <f>'Input-EWEMs'!AF16</f>
        <v/>
      </c>
      <c r="H14" s="761" t="str">
        <f>'Input-EWEMs'!AG16</f>
        <v/>
      </c>
      <c r="I14" s="723" t="str">
        <f t="shared" si="0"/>
        <v>← Hide this row</v>
      </c>
    </row>
    <row r="15" spans="1:16" s="210" customFormat="1" ht="14.25">
      <c r="B15" s="762">
        <v>6</v>
      </c>
      <c r="C15" s="756" t="str">
        <f>IF('Input-EWEMs'!F17="","", 'Input-EWEMs'!F17)</f>
        <v/>
      </c>
      <c r="D15" s="757">
        <f>'Input-EWEMs'!K17</f>
        <v>0</v>
      </c>
      <c r="E15" s="758">
        <f>SUM('Input-EWEMs'!L17:M17)</f>
        <v>0</v>
      </c>
      <c r="F15" s="759">
        <f>SUM('Input-EWEMs'!O17:P17)</f>
        <v>0</v>
      </c>
      <c r="G15" s="760" t="str">
        <f>'Input-EWEMs'!AF17</f>
        <v/>
      </c>
      <c r="H15" s="761" t="str">
        <f>'Input-EWEMs'!AG17</f>
        <v/>
      </c>
      <c r="I15" s="723" t="str">
        <f t="shared" si="0"/>
        <v>← Hide this row</v>
      </c>
    </row>
    <row r="16" spans="1:16" s="210" customFormat="1" ht="14.25">
      <c r="B16" s="762">
        <v>7</v>
      </c>
      <c r="C16" s="756" t="str">
        <f>IF('Input-EWEMs'!F18="","", 'Input-EWEMs'!F18)</f>
        <v/>
      </c>
      <c r="D16" s="757">
        <f>'Input-EWEMs'!K18</f>
        <v>0</v>
      </c>
      <c r="E16" s="758">
        <f>SUM('Input-EWEMs'!L18:M18)</f>
        <v>0</v>
      </c>
      <c r="F16" s="759">
        <f>SUM('Input-EWEMs'!O18:P18)</f>
        <v>0</v>
      </c>
      <c r="G16" s="760" t="str">
        <f>'Input-EWEMs'!AF18</f>
        <v/>
      </c>
      <c r="H16" s="761" t="str">
        <f>'Input-EWEMs'!AG18</f>
        <v/>
      </c>
      <c r="I16" s="723" t="str">
        <f t="shared" si="0"/>
        <v>← Hide this row</v>
      </c>
    </row>
    <row r="17" spans="2:9" s="210" customFormat="1" ht="14.25">
      <c r="B17" s="762">
        <v>8</v>
      </c>
      <c r="C17" s="756" t="str">
        <f>IF('Input-EWEMs'!F19="","", 'Input-EWEMs'!F19)</f>
        <v/>
      </c>
      <c r="D17" s="757">
        <f>'Input-EWEMs'!K19</f>
        <v>0</v>
      </c>
      <c r="E17" s="758">
        <f>SUM('Input-EWEMs'!L19:M19)</f>
        <v>0</v>
      </c>
      <c r="F17" s="759">
        <f>SUM('Input-EWEMs'!O19:P19)</f>
        <v>0</v>
      </c>
      <c r="G17" s="760" t="str">
        <f>'Input-EWEMs'!AF19</f>
        <v/>
      </c>
      <c r="H17" s="761" t="str">
        <f>'Input-EWEMs'!AG19</f>
        <v/>
      </c>
      <c r="I17" s="723" t="str">
        <f t="shared" si="0"/>
        <v>← Hide this row</v>
      </c>
    </row>
    <row r="18" spans="2:9" s="210" customFormat="1" ht="14.25">
      <c r="B18" s="762">
        <v>9</v>
      </c>
      <c r="C18" s="756" t="str">
        <f>IF('Input-EWEMs'!F20="","", 'Input-EWEMs'!F20)</f>
        <v/>
      </c>
      <c r="D18" s="757">
        <f>'Input-EWEMs'!K20</f>
        <v>0</v>
      </c>
      <c r="E18" s="758">
        <f>SUM('Input-EWEMs'!L20:M20)</f>
        <v>0</v>
      </c>
      <c r="F18" s="759">
        <f>SUM('Input-EWEMs'!O20:P20)</f>
        <v>0</v>
      </c>
      <c r="G18" s="760" t="str">
        <f>'Input-EWEMs'!AF20</f>
        <v/>
      </c>
      <c r="H18" s="761" t="str">
        <f>'Input-EWEMs'!AG20</f>
        <v/>
      </c>
      <c r="I18" s="723" t="str">
        <f t="shared" si="0"/>
        <v>← Hide this row</v>
      </c>
    </row>
    <row r="19" spans="2:9" s="210" customFormat="1" ht="14.25">
      <c r="B19" s="762">
        <v>10</v>
      </c>
      <c r="C19" s="756" t="str">
        <f>IF('Input-EWEMs'!F21="","", 'Input-EWEMs'!F21)</f>
        <v/>
      </c>
      <c r="D19" s="757">
        <f>'Input-EWEMs'!K21</f>
        <v>0</v>
      </c>
      <c r="E19" s="758">
        <f>SUM('Input-EWEMs'!L21:M21)</f>
        <v>0</v>
      </c>
      <c r="F19" s="759">
        <f>SUM('Input-EWEMs'!O21:P21)</f>
        <v>0</v>
      </c>
      <c r="G19" s="760" t="str">
        <f>'Input-EWEMs'!AF21</f>
        <v/>
      </c>
      <c r="H19" s="761" t="str">
        <f>'Input-EWEMs'!AG21</f>
        <v/>
      </c>
      <c r="I19" s="723" t="str">
        <f t="shared" si="0"/>
        <v>← Hide this row</v>
      </c>
    </row>
    <row r="20" spans="2:9" s="210" customFormat="1" ht="14.25">
      <c r="B20" s="762">
        <v>11</v>
      </c>
      <c r="C20" s="756" t="str">
        <f>IF('Input-EWEMs'!F22="","", 'Input-EWEMs'!F22)</f>
        <v/>
      </c>
      <c r="D20" s="757">
        <f>'Input-EWEMs'!K22</f>
        <v>0</v>
      </c>
      <c r="E20" s="758">
        <f>SUM('Input-EWEMs'!L22:M22)</f>
        <v>0</v>
      </c>
      <c r="F20" s="759">
        <f>SUM('Input-EWEMs'!O22:P22)</f>
        <v>0</v>
      </c>
      <c r="G20" s="760" t="str">
        <f>'Input-EWEMs'!AF22</f>
        <v/>
      </c>
      <c r="H20" s="761" t="str">
        <f>'Input-EWEMs'!AG22</f>
        <v/>
      </c>
      <c r="I20" s="723" t="str">
        <f t="shared" si="0"/>
        <v>← Hide this row</v>
      </c>
    </row>
    <row r="21" spans="2:9" s="210" customFormat="1" ht="14.25">
      <c r="B21" s="762">
        <v>12</v>
      </c>
      <c r="C21" s="756" t="str">
        <f>IF('Input-EWEMs'!F23="","", 'Input-EWEMs'!F23)</f>
        <v/>
      </c>
      <c r="D21" s="757">
        <f>'Input-EWEMs'!K23</f>
        <v>0</v>
      </c>
      <c r="E21" s="758">
        <f>SUM('Input-EWEMs'!L23:M23)</f>
        <v>0</v>
      </c>
      <c r="F21" s="759">
        <f>SUM('Input-EWEMs'!O23:P23)</f>
        <v>0</v>
      </c>
      <c r="G21" s="760" t="str">
        <f>'Input-EWEMs'!AF23</f>
        <v/>
      </c>
      <c r="H21" s="761" t="str">
        <f>'Input-EWEMs'!AG23</f>
        <v/>
      </c>
      <c r="I21" s="723" t="str">
        <f t="shared" si="0"/>
        <v>← Hide this row</v>
      </c>
    </row>
    <row r="22" spans="2:9" s="210" customFormat="1" ht="14.25">
      <c r="B22" s="762">
        <v>13</v>
      </c>
      <c r="C22" s="756" t="str">
        <f>IF('Input-EWEMs'!F24="","", 'Input-EWEMs'!F24)</f>
        <v/>
      </c>
      <c r="D22" s="757">
        <f>'Input-EWEMs'!K24</f>
        <v>0</v>
      </c>
      <c r="E22" s="758">
        <f>SUM('Input-EWEMs'!L24:M24)</f>
        <v>0</v>
      </c>
      <c r="F22" s="759">
        <f>SUM('Input-EWEMs'!O24:P24)</f>
        <v>0</v>
      </c>
      <c r="G22" s="760" t="str">
        <f>'Input-EWEMs'!AF24</f>
        <v/>
      </c>
      <c r="H22" s="761" t="str">
        <f>'Input-EWEMs'!AG24</f>
        <v/>
      </c>
      <c r="I22" s="723" t="str">
        <f t="shared" si="0"/>
        <v>← Hide this row</v>
      </c>
    </row>
    <row r="23" spans="2:9" s="210" customFormat="1" ht="14.25">
      <c r="B23" s="762">
        <v>14</v>
      </c>
      <c r="C23" s="756" t="str">
        <f>IF('Input-EWEMs'!F25="","", 'Input-EWEMs'!F25)</f>
        <v/>
      </c>
      <c r="D23" s="757">
        <f>'Input-EWEMs'!K25</f>
        <v>0</v>
      </c>
      <c r="E23" s="758">
        <f>SUM('Input-EWEMs'!L25:M25)</f>
        <v>0</v>
      </c>
      <c r="F23" s="759">
        <f>SUM('Input-EWEMs'!O25:P25)</f>
        <v>0</v>
      </c>
      <c r="G23" s="760" t="str">
        <f>'Input-EWEMs'!AF25</f>
        <v/>
      </c>
      <c r="H23" s="761" t="str">
        <f>'Input-EWEMs'!AG25</f>
        <v/>
      </c>
      <c r="I23" s="723" t="str">
        <f t="shared" si="0"/>
        <v>← Hide this row</v>
      </c>
    </row>
    <row r="24" spans="2:9" s="279" customFormat="1" ht="14.25">
      <c r="B24" s="762">
        <v>15</v>
      </c>
      <c r="C24" s="756" t="str">
        <f>IF('Input-EWEMs'!F26="","", 'Input-EWEMs'!F26)</f>
        <v/>
      </c>
      <c r="D24" s="757">
        <f>'Input-EWEMs'!K26</f>
        <v>0</v>
      </c>
      <c r="E24" s="758">
        <f>SUM('Input-EWEMs'!L26:M26)</f>
        <v>0</v>
      </c>
      <c r="F24" s="759">
        <f>SUM('Input-EWEMs'!O26:P26)</f>
        <v>0</v>
      </c>
      <c r="G24" s="760" t="str">
        <f>'Input-EWEMs'!AF26</f>
        <v/>
      </c>
      <c r="H24" s="761" t="str">
        <f>'Input-EWEMs'!AG26</f>
        <v/>
      </c>
      <c r="I24" s="723" t="str">
        <f t="shared" si="0"/>
        <v>← Hide this row</v>
      </c>
    </row>
    <row r="25" spans="2:9" s="210" customFormat="1" ht="14.25">
      <c r="B25" s="762">
        <v>16</v>
      </c>
      <c r="C25" s="756" t="str">
        <f>IF('Input-EWEMs'!F27="","", 'Input-EWEMs'!F27)</f>
        <v/>
      </c>
      <c r="D25" s="757">
        <f>'Input-EWEMs'!K27</f>
        <v>0</v>
      </c>
      <c r="E25" s="758">
        <f>SUM('Input-EWEMs'!L27:M27)</f>
        <v>0</v>
      </c>
      <c r="F25" s="759">
        <f>SUM('Input-EWEMs'!O27:P27)</f>
        <v>0</v>
      </c>
      <c r="G25" s="760" t="str">
        <f>'Input-EWEMs'!AF27</f>
        <v/>
      </c>
      <c r="H25" s="761" t="str">
        <f>'Input-EWEMs'!AG27</f>
        <v/>
      </c>
      <c r="I25" s="723" t="str">
        <f t="shared" si="0"/>
        <v>← Hide this row</v>
      </c>
    </row>
    <row r="26" spans="2:9" s="210" customFormat="1" ht="14.25">
      <c r="B26" s="762">
        <v>17</v>
      </c>
      <c r="C26" s="756" t="str">
        <f>IF('Input-EWEMs'!F28="","", 'Input-EWEMs'!F28)</f>
        <v/>
      </c>
      <c r="D26" s="757">
        <f>'Input-EWEMs'!K28</f>
        <v>0</v>
      </c>
      <c r="E26" s="758">
        <f>SUM('Input-EWEMs'!L28:M28)</f>
        <v>0</v>
      </c>
      <c r="F26" s="759">
        <f>SUM('Input-EWEMs'!O28:P28)</f>
        <v>0</v>
      </c>
      <c r="G26" s="760" t="str">
        <f>'Input-EWEMs'!AF28</f>
        <v/>
      </c>
      <c r="H26" s="761" t="str">
        <f>'Input-EWEMs'!AG28</f>
        <v/>
      </c>
      <c r="I26" s="723" t="str">
        <f t="shared" si="0"/>
        <v>← Hide this row</v>
      </c>
    </row>
    <row r="27" spans="2:9" s="210" customFormat="1" ht="14.25">
      <c r="B27" s="762">
        <v>18</v>
      </c>
      <c r="C27" s="756" t="str">
        <f>IF('Input-EWEMs'!F29="","", 'Input-EWEMs'!F29)</f>
        <v/>
      </c>
      <c r="D27" s="757">
        <f>'Input-EWEMs'!K29</f>
        <v>0</v>
      </c>
      <c r="E27" s="758">
        <f>SUM('Input-EWEMs'!L29:M29)</f>
        <v>0</v>
      </c>
      <c r="F27" s="759">
        <f>SUM('Input-EWEMs'!O29:P29)</f>
        <v>0</v>
      </c>
      <c r="G27" s="760" t="str">
        <f>'Input-EWEMs'!AF29</f>
        <v/>
      </c>
      <c r="H27" s="761" t="str">
        <f>'Input-EWEMs'!AG29</f>
        <v/>
      </c>
      <c r="I27" s="723" t="str">
        <f t="shared" si="0"/>
        <v>← Hide this row</v>
      </c>
    </row>
    <row r="28" spans="2:9" s="210" customFormat="1" ht="14.25">
      <c r="B28" s="762">
        <v>19</v>
      </c>
      <c r="C28" s="756" t="str">
        <f>IF('Input-EWEMs'!F30="","", 'Input-EWEMs'!F30)</f>
        <v/>
      </c>
      <c r="D28" s="757">
        <f>'Input-EWEMs'!K30</f>
        <v>0</v>
      </c>
      <c r="E28" s="758">
        <f>SUM('Input-EWEMs'!L30:M30)</f>
        <v>0</v>
      </c>
      <c r="F28" s="759">
        <f>SUM('Input-EWEMs'!O30:P30)</f>
        <v>0</v>
      </c>
      <c r="G28" s="760" t="str">
        <f>'Input-EWEMs'!AF30</f>
        <v/>
      </c>
      <c r="H28" s="761" t="str">
        <f>'Input-EWEMs'!AG30</f>
        <v/>
      </c>
      <c r="I28" s="723" t="str">
        <f t="shared" si="0"/>
        <v>← Hide this row</v>
      </c>
    </row>
    <row r="29" spans="2:9" s="210" customFormat="1" ht="14.25">
      <c r="B29" s="762">
        <v>20</v>
      </c>
      <c r="C29" s="756" t="str">
        <f>IF('Input-EWEMs'!F31="","", 'Input-EWEMs'!F31)</f>
        <v/>
      </c>
      <c r="D29" s="757">
        <f>'Input-EWEMs'!K31</f>
        <v>0</v>
      </c>
      <c r="E29" s="758">
        <f>SUM('Input-EWEMs'!L31:M31)</f>
        <v>0</v>
      </c>
      <c r="F29" s="759">
        <f>SUM('Input-EWEMs'!O31:P31)</f>
        <v>0</v>
      </c>
      <c r="G29" s="760" t="str">
        <f>'Input-EWEMs'!AF31</f>
        <v/>
      </c>
      <c r="H29" s="761" t="str">
        <f>'Input-EWEMs'!AG31</f>
        <v/>
      </c>
      <c r="I29" s="723" t="str">
        <f t="shared" ref="I29:I39" si="1">IF(C29="", "← Hide this row", "")</f>
        <v>← Hide this row</v>
      </c>
    </row>
    <row r="30" spans="2:9" s="210" customFormat="1" ht="14.25">
      <c r="B30" s="762">
        <v>21</v>
      </c>
      <c r="C30" s="756" t="str">
        <f>IF('Input-EWEMs'!F32="","", 'Input-EWEMs'!F32)</f>
        <v/>
      </c>
      <c r="D30" s="757">
        <f>'Input-EWEMs'!K32</f>
        <v>0</v>
      </c>
      <c r="E30" s="758">
        <f>SUM('Input-EWEMs'!L32:M32)</f>
        <v>0</v>
      </c>
      <c r="F30" s="759">
        <f>SUM('Input-EWEMs'!O32:P32)</f>
        <v>0</v>
      </c>
      <c r="G30" s="760" t="str">
        <f>'Input-EWEMs'!AF32</f>
        <v/>
      </c>
      <c r="H30" s="761" t="str">
        <f>'Input-EWEMs'!AG32</f>
        <v/>
      </c>
      <c r="I30" s="723" t="str">
        <f t="shared" si="1"/>
        <v>← Hide this row</v>
      </c>
    </row>
    <row r="31" spans="2:9" s="210" customFormat="1" ht="14.25">
      <c r="B31" s="762">
        <v>22</v>
      </c>
      <c r="C31" s="756" t="str">
        <f>IF('Input-EWEMs'!F33="","", 'Input-EWEMs'!F33)</f>
        <v/>
      </c>
      <c r="D31" s="757">
        <f>'Input-EWEMs'!K33</f>
        <v>0</v>
      </c>
      <c r="E31" s="758">
        <f>SUM('Input-EWEMs'!L33:M33)</f>
        <v>0</v>
      </c>
      <c r="F31" s="759">
        <f>SUM('Input-EWEMs'!O33:P33)</f>
        <v>0</v>
      </c>
      <c r="G31" s="760" t="str">
        <f>'Input-EWEMs'!AF33</f>
        <v/>
      </c>
      <c r="H31" s="761" t="str">
        <f>'Input-EWEMs'!AG33</f>
        <v/>
      </c>
      <c r="I31" s="723" t="str">
        <f t="shared" si="1"/>
        <v>← Hide this row</v>
      </c>
    </row>
    <row r="32" spans="2:9" s="210" customFormat="1" ht="14.25">
      <c r="B32" s="762">
        <v>23</v>
      </c>
      <c r="C32" s="756" t="str">
        <f>IF('Input-EWEMs'!F34="","", 'Input-EWEMs'!F34)</f>
        <v/>
      </c>
      <c r="D32" s="757">
        <f>'Input-EWEMs'!K34</f>
        <v>0</v>
      </c>
      <c r="E32" s="758">
        <f>SUM('Input-EWEMs'!L34:M34)</f>
        <v>0</v>
      </c>
      <c r="F32" s="759">
        <f>SUM('Input-EWEMs'!O34:P34)</f>
        <v>0</v>
      </c>
      <c r="G32" s="760" t="str">
        <f>'Input-EWEMs'!AF34</f>
        <v/>
      </c>
      <c r="H32" s="761" t="str">
        <f>'Input-EWEMs'!AG34</f>
        <v/>
      </c>
      <c r="I32" s="723" t="str">
        <f t="shared" si="1"/>
        <v>← Hide this row</v>
      </c>
    </row>
    <row r="33" spans="2:9" s="210" customFormat="1" ht="14.25">
      <c r="B33" s="762">
        <v>24</v>
      </c>
      <c r="C33" s="756" t="str">
        <f>IF('Input-EWEMs'!F35="","", 'Input-EWEMs'!F35)</f>
        <v/>
      </c>
      <c r="D33" s="757">
        <f>'Input-EWEMs'!K35</f>
        <v>0</v>
      </c>
      <c r="E33" s="758">
        <f>SUM('Input-EWEMs'!L35:M35)</f>
        <v>0</v>
      </c>
      <c r="F33" s="759">
        <f>SUM('Input-EWEMs'!O35:P35)</f>
        <v>0</v>
      </c>
      <c r="G33" s="760" t="str">
        <f>'Input-EWEMs'!AF35</f>
        <v/>
      </c>
      <c r="H33" s="761" t="str">
        <f>'Input-EWEMs'!AG35</f>
        <v/>
      </c>
      <c r="I33" s="723" t="str">
        <f t="shared" si="1"/>
        <v>← Hide this row</v>
      </c>
    </row>
    <row r="34" spans="2:9" s="210" customFormat="1" ht="14.25">
      <c r="B34" s="762">
        <v>25</v>
      </c>
      <c r="C34" s="756" t="str">
        <f>IF('Input-EWEMs'!F36="","", 'Input-EWEMs'!F36)</f>
        <v/>
      </c>
      <c r="D34" s="757">
        <f>'Input-EWEMs'!K36</f>
        <v>0</v>
      </c>
      <c r="E34" s="758">
        <f>SUM('Input-EWEMs'!L36:M36)</f>
        <v>0</v>
      </c>
      <c r="F34" s="759">
        <f>SUM('Input-EWEMs'!O36:P36)</f>
        <v>0</v>
      </c>
      <c r="G34" s="760" t="str">
        <f>'Input-EWEMs'!AF36</f>
        <v/>
      </c>
      <c r="H34" s="761" t="str">
        <f>'Input-EWEMs'!AG36</f>
        <v/>
      </c>
      <c r="I34" s="723" t="str">
        <f t="shared" si="1"/>
        <v>← Hide this row</v>
      </c>
    </row>
    <row r="35" spans="2:9" s="210" customFormat="1" ht="14.25">
      <c r="B35" s="762">
        <v>26</v>
      </c>
      <c r="C35" s="756" t="str">
        <f>IF('Input-EWEMs'!F37="","", 'Input-EWEMs'!F37)</f>
        <v/>
      </c>
      <c r="D35" s="757">
        <f>'Input-EWEMs'!K37</f>
        <v>0</v>
      </c>
      <c r="E35" s="758">
        <f>SUM('Input-EWEMs'!L37:M37)</f>
        <v>0</v>
      </c>
      <c r="F35" s="759">
        <f>SUM('Input-EWEMs'!O37:P37)</f>
        <v>0</v>
      </c>
      <c r="G35" s="760" t="str">
        <f>'Input-EWEMs'!AF37</f>
        <v/>
      </c>
      <c r="H35" s="761" t="str">
        <f>'Input-EWEMs'!AG37</f>
        <v/>
      </c>
      <c r="I35" s="723" t="str">
        <f t="shared" si="1"/>
        <v>← Hide this row</v>
      </c>
    </row>
    <row r="36" spans="2:9" s="210" customFormat="1" ht="14.25">
      <c r="B36" s="762">
        <v>27</v>
      </c>
      <c r="C36" s="756" t="str">
        <f>IF('Input-EWEMs'!F38="","", 'Input-EWEMs'!F38)</f>
        <v/>
      </c>
      <c r="D36" s="757">
        <f>'Input-EWEMs'!K38</f>
        <v>0</v>
      </c>
      <c r="E36" s="758">
        <f>SUM('Input-EWEMs'!L38:M38)</f>
        <v>0</v>
      </c>
      <c r="F36" s="759">
        <f>SUM('Input-EWEMs'!O38:P38)</f>
        <v>0</v>
      </c>
      <c r="G36" s="760" t="str">
        <f>'Input-EWEMs'!AF38</f>
        <v/>
      </c>
      <c r="H36" s="761" t="str">
        <f>'Input-EWEMs'!AG38</f>
        <v/>
      </c>
      <c r="I36" s="723" t="str">
        <f t="shared" si="1"/>
        <v>← Hide this row</v>
      </c>
    </row>
    <row r="37" spans="2:9" s="210" customFormat="1" ht="14.25">
      <c r="B37" s="762">
        <v>28</v>
      </c>
      <c r="C37" s="756" t="str">
        <f>IF('Input-EWEMs'!F39="","", 'Input-EWEMs'!F39)</f>
        <v/>
      </c>
      <c r="D37" s="757">
        <f>'Input-EWEMs'!K39</f>
        <v>0</v>
      </c>
      <c r="E37" s="758">
        <f>SUM('Input-EWEMs'!L39:M39)</f>
        <v>0</v>
      </c>
      <c r="F37" s="759">
        <f>SUM('Input-EWEMs'!O39:P39)</f>
        <v>0</v>
      </c>
      <c r="G37" s="760" t="str">
        <f>'Input-EWEMs'!AF39</f>
        <v/>
      </c>
      <c r="H37" s="761" t="str">
        <f>'Input-EWEMs'!AG39</f>
        <v/>
      </c>
      <c r="I37" s="723" t="str">
        <f t="shared" si="1"/>
        <v>← Hide this row</v>
      </c>
    </row>
    <row r="38" spans="2:9" s="210" customFormat="1" ht="14.25">
      <c r="B38" s="762">
        <v>29</v>
      </c>
      <c r="C38" s="756" t="str">
        <f>IF('Input-EWEMs'!F40="","", 'Input-EWEMs'!F40)</f>
        <v/>
      </c>
      <c r="D38" s="757">
        <f>'Input-EWEMs'!K40</f>
        <v>0</v>
      </c>
      <c r="E38" s="758">
        <f>SUM('Input-EWEMs'!L40:M40)</f>
        <v>0</v>
      </c>
      <c r="F38" s="759">
        <f>SUM('Input-EWEMs'!O40:P40)</f>
        <v>0</v>
      </c>
      <c r="G38" s="760" t="str">
        <f>'Input-EWEMs'!AF40</f>
        <v/>
      </c>
      <c r="H38" s="761" t="str">
        <f>'Input-EWEMs'!AG40</f>
        <v/>
      </c>
      <c r="I38" s="723" t="str">
        <f t="shared" si="1"/>
        <v>← Hide this row</v>
      </c>
    </row>
    <row r="39" spans="2:9" s="210" customFormat="1" ht="14.25">
      <c r="B39" s="762">
        <v>30</v>
      </c>
      <c r="C39" s="756" t="str">
        <f>IF('Input-EWEMs'!F41="","", 'Input-EWEMs'!F41)</f>
        <v/>
      </c>
      <c r="D39" s="757">
        <f>'Input-EWEMs'!K41</f>
        <v>0</v>
      </c>
      <c r="E39" s="758">
        <f>SUM('Input-EWEMs'!L41:M41)</f>
        <v>0</v>
      </c>
      <c r="F39" s="759">
        <f>SUM('Input-EWEMs'!O41:P41)</f>
        <v>0</v>
      </c>
      <c r="G39" s="760" t="str">
        <f>'Input-EWEMs'!AF41</f>
        <v/>
      </c>
      <c r="H39" s="761" t="str">
        <f>'Input-EWEMs'!AG41</f>
        <v/>
      </c>
      <c r="I39" s="723" t="str">
        <f t="shared" si="1"/>
        <v>← Hide this row</v>
      </c>
    </row>
    <row r="40" spans="2:9" s="210" customFormat="1" ht="15">
      <c r="B40" s="763"/>
      <c r="C40" s="764" t="s">
        <v>62</v>
      </c>
      <c r="D40" s="765">
        <f>SUM(D10:D39)</f>
        <v>0</v>
      </c>
      <c r="E40" s="766">
        <f>SUM(E10:E39)</f>
        <v>0</v>
      </c>
      <c r="F40" s="767">
        <f>SUM(F10:F39)</f>
        <v>0</v>
      </c>
      <c r="G40" s="768">
        <f t="shared" ref="G40:H40" si="2">SUM(G10:G39)</f>
        <v>0</v>
      </c>
      <c r="H40" s="769">
        <f t="shared" si="2"/>
        <v>0</v>
      </c>
      <c r="I40" s="351"/>
    </row>
    <row r="41" spans="2:9" ht="16.5" customHeight="1">
      <c r="B41" s="256"/>
      <c r="C41" s="256"/>
      <c r="D41" s="256"/>
      <c r="E41" s="256"/>
      <c r="F41" s="256"/>
      <c r="G41" s="256"/>
      <c r="H41" s="256"/>
    </row>
  </sheetData>
  <sheetProtection algorithmName="SHA-512" hashValue="FqOqvt1vPWJMeUytkVPNV4A1jpNp9KmJpxD4q+pJW4es82dgTGp6hS5Oj5T3Ffm26SKyksZ0ss5PQP6ax33/Vg==" saltValue="K15spvKR3ZzvkYF1eJK1lA==" spinCount="100000" sheet="1" formatRows="0"/>
  <mergeCells count="3">
    <mergeCell ref="B8:B9"/>
    <mergeCell ref="C8:C9"/>
    <mergeCell ref="B4:H4"/>
  </mergeCells>
  <pageMargins left="0.7" right="0.7" top="0.75" bottom="0.75" header="0.3" footer="0.3"/>
  <pageSetup paperSize="5" scale="84" orientation="landscape" r:id="rId1"/>
  <headerFooter>
    <oddFooter>&amp;L&amp;"Source Sans Pro,Regular"&amp;8© 2019 Fannie Mae. Trademarks of Fannie Mae.&amp;C&amp;"Source Sans Pro,Regular"&amp;8Form 4099.H - September 2019&amp;R&amp;"Source Sans Pro,Regular"&amp;8Page &amp;P of &amp;N</oddFooter>
  </headerFooter>
  <ignoredErrors>
    <ignoredError sqref="E10:F11"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34998626667073579"/>
    <pageSetUpPr autoPageBreaks="0"/>
  </sheetPr>
  <dimension ref="A1:N42"/>
  <sheetViews>
    <sheetView showGridLines="0" zoomScale="90" zoomScaleNormal="90" workbookViewId="0">
      <selection activeCell="G28" sqref="G28"/>
    </sheetView>
  </sheetViews>
  <sheetFormatPr defaultColWidth="9.28515625" defaultRowHeight="14.25"/>
  <cols>
    <col min="1" max="1" width="2.28515625" style="210" customWidth="1"/>
    <col min="2" max="2" width="7.7109375" style="210" customWidth="1"/>
    <col min="3" max="3" width="42.7109375" style="210" customWidth="1"/>
    <col min="4" max="7" width="15.7109375" style="210" customWidth="1"/>
    <col min="8" max="9" width="13.7109375" style="210" customWidth="1"/>
    <col min="10" max="11" width="10.7109375" style="210" customWidth="1"/>
    <col min="12" max="12" width="11.28515625" style="351" customWidth="1"/>
    <col min="13" max="16384" width="9.28515625" style="210"/>
  </cols>
  <sheetData>
    <row r="1" spans="1:14" s="187" customFormat="1" ht="23.25" customHeight="1">
      <c r="A1" s="188"/>
      <c r="B1" s="185" t="s">
        <v>367</v>
      </c>
      <c r="C1" s="186"/>
      <c r="D1" s="186"/>
      <c r="E1" s="186"/>
      <c r="F1" s="186"/>
      <c r="G1" s="186"/>
      <c r="H1" s="186"/>
      <c r="K1" s="207"/>
    </row>
    <row r="2" spans="1:14" s="187" customFormat="1" ht="15" customHeight="1">
      <c r="A2" s="207"/>
      <c r="C2" s="207"/>
      <c r="D2" s="207"/>
      <c r="E2" s="207"/>
      <c r="F2" s="207"/>
      <c r="G2" s="207"/>
      <c r="H2" s="207"/>
      <c r="I2" s="207"/>
      <c r="J2" s="207"/>
      <c r="L2" s="725"/>
    </row>
    <row r="3" spans="1:14" s="188" customFormat="1" ht="26.25">
      <c r="B3" s="208" t="s">
        <v>327</v>
      </c>
      <c r="F3" s="186"/>
      <c r="L3" s="748"/>
    </row>
    <row r="4" spans="1:14" s="187" customFormat="1" ht="30" customHeight="1">
      <c r="A4" s="188"/>
      <c r="B4" s="1048" t="s">
        <v>826</v>
      </c>
      <c r="C4" s="1048"/>
      <c r="D4" s="1048"/>
      <c r="E4" s="1048"/>
      <c r="F4" s="1048"/>
      <c r="G4" s="1048"/>
      <c r="H4" s="1048"/>
      <c r="I4" s="1048"/>
      <c r="J4" s="711"/>
      <c r="K4" s="711"/>
      <c r="L4" s="749"/>
      <c r="M4" s="711"/>
      <c r="N4" s="711"/>
    </row>
    <row r="5" spans="1:14" s="213" customFormat="1" ht="12">
      <c r="B5" s="215"/>
      <c r="C5" s="215"/>
    </row>
    <row r="6" spans="1:14" ht="18">
      <c r="B6" s="255" t="s">
        <v>482</v>
      </c>
    </row>
    <row r="7" spans="1:14" ht="9.75" customHeight="1">
      <c r="B7" s="255"/>
    </row>
    <row r="8" spans="1:14">
      <c r="D8" s="1045" t="s">
        <v>222</v>
      </c>
      <c r="E8" s="1046"/>
      <c r="F8" s="1046"/>
      <c r="G8" s="1046"/>
      <c r="H8" s="1046"/>
      <c r="I8" s="1047"/>
      <c r="J8" s="351"/>
      <c r="L8" s="210"/>
    </row>
    <row r="9" spans="1:14" ht="34.5" customHeight="1">
      <c r="B9" s="808" t="s">
        <v>315</v>
      </c>
      <c r="C9" s="810" t="s">
        <v>770</v>
      </c>
      <c r="D9" s="696" t="s">
        <v>24</v>
      </c>
      <c r="E9" s="605" t="str">
        <f>IF(OR('Input-Utilities'!C11="n/a",'Input-Utilities'!C11=""), "n/a", "Annual "&amp;'Input-Utilities'!C11&amp;" Savings")</f>
        <v>n/a</v>
      </c>
      <c r="F9" s="605" t="str">
        <f>IF(OR('Input-Utilities'!C12="n/a",'Input-Utilities'!C12=""), "n/a", "Annual "&amp;'Input-Utilities'!C12&amp;" Savings")</f>
        <v>n/a</v>
      </c>
      <c r="G9" s="697" t="s">
        <v>73</v>
      </c>
      <c r="H9" s="696" t="s">
        <v>70</v>
      </c>
      <c r="I9" s="697" t="s">
        <v>22</v>
      </c>
      <c r="J9" s="351"/>
      <c r="L9" s="210"/>
    </row>
    <row r="10" spans="1:14">
      <c r="B10" s="809"/>
      <c r="C10" s="811"/>
      <c r="D10" s="754" t="s">
        <v>21</v>
      </c>
      <c r="E10" s="752" t="str">
        <f>IF(E9="n/a", "", 'Input-EWEMs'!S11)</f>
        <v/>
      </c>
      <c r="F10" s="752" t="str">
        <f>IF(F9="n/a", "", 'Input-EWEMs'!T11)</f>
        <v/>
      </c>
      <c r="G10" s="752">
        <f>'Input-EWEMs'!U11</f>
        <v>0</v>
      </c>
      <c r="H10" s="754" t="s">
        <v>71</v>
      </c>
      <c r="I10" s="753" t="s">
        <v>71</v>
      </c>
      <c r="J10" s="351"/>
      <c r="L10" s="210"/>
    </row>
    <row r="11" spans="1:14">
      <c r="B11" s="770">
        <v>1</v>
      </c>
      <c r="C11" s="771" t="str">
        <f>IF('Input-EWEMs'!F12="","", 'Input-EWEMs'!F12)</f>
        <v/>
      </c>
      <c r="D11" s="772">
        <f>'Input-EWEMs'!R12</f>
        <v>0</v>
      </c>
      <c r="E11" s="773">
        <f>'Input-EWEMs'!S12</f>
        <v>0</v>
      </c>
      <c r="F11" s="773">
        <f>'Input-EWEMs'!T12</f>
        <v>0</v>
      </c>
      <c r="G11" s="774">
        <f>'Input-EWEMs'!U12</f>
        <v>0</v>
      </c>
      <c r="H11" s="760" t="str">
        <f>'Input-EWEMs'!AF12</f>
        <v/>
      </c>
      <c r="I11" s="761" t="str">
        <f>'Input-EWEMs'!AG12</f>
        <v/>
      </c>
      <c r="J11" s="723" t="str">
        <f t="shared" ref="J11:J29" si="0">IF(C11="", "← Hide this row", "")</f>
        <v>← Hide this row</v>
      </c>
      <c r="L11" s="210"/>
    </row>
    <row r="12" spans="1:14">
      <c r="B12" s="775">
        <v>2</v>
      </c>
      <c r="C12" s="776" t="str">
        <f>IF('Input-EWEMs'!F13="","", 'Input-EWEMs'!F13)</f>
        <v/>
      </c>
      <c r="D12" s="772">
        <f>'Input-EWEMs'!R13</f>
        <v>0</v>
      </c>
      <c r="E12" s="777">
        <f>'Input-EWEMs'!S13</f>
        <v>0</v>
      </c>
      <c r="F12" s="777">
        <f>'Input-EWEMs'!T13</f>
        <v>0</v>
      </c>
      <c r="G12" s="778">
        <f>'Input-EWEMs'!U13</f>
        <v>0</v>
      </c>
      <c r="H12" s="760" t="str">
        <f>'Input-EWEMs'!AF13</f>
        <v/>
      </c>
      <c r="I12" s="761" t="str">
        <f>'Input-EWEMs'!AG13</f>
        <v/>
      </c>
      <c r="J12" s="723" t="str">
        <f t="shared" si="0"/>
        <v>← Hide this row</v>
      </c>
      <c r="L12" s="210"/>
    </row>
    <row r="13" spans="1:14">
      <c r="B13" s="775">
        <v>3</v>
      </c>
      <c r="C13" s="776" t="str">
        <f>IF('Input-EWEMs'!F14="","", 'Input-EWEMs'!F14)</f>
        <v/>
      </c>
      <c r="D13" s="772">
        <f>'Input-EWEMs'!R14</f>
        <v>0</v>
      </c>
      <c r="E13" s="777">
        <f>'Input-EWEMs'!S14</f>
        <v>0</v>
      </c>
      <c r="F13" s="777">
        <f>'Input-EWEMs'!T14</f>
        <v>0</v>
      </c>
      <c r="G13" s="778">
        <f>'Input-EWEMs'!U14</f>
        <v>0</v>
      </c>
      <c r="H13" s="760" t="str">
        <f>'Input-EWEMs'!AF14</f>
        <v/>
      </c>
      <c r="I13" s="761" t="str">
        <f>'Input-EWEMs'!AG14</f>
        <v/>
      </c>
      <c r="J13" s="723" t="str">
        <f t="shared" si="0"/>
        <v>← Hide this row</v>
      </c>
      <c r="L13" s="210"/>
    </row>
    <row r="14" spans="1:14">
      <c r="B14" s="775">
        <v>4</v>
      </c>
      <c r="C14" s="776" t="str">
        <f>IF('Input-EWEMs'!F15="","", 'Input-EWEMs'!F15)</f>
        <v/>
      </c>
      <c r="D14" s="772">
        <f>'Input-EWEMs'!R15</f>
        <v>0</v>
      </c>
      <c r="E14" s="777">
        <f>'Input-EWEMs'!S15</f>
        <v>0</v>
      </c>
      <c r="F14" s="777">
        <f>'Input-EWEMs'!T15</f>
        <v>0</v>
      </c>
      <c r="G14" s="778">
        <f>'Input-EWEMs'!U15</f>
        <v>0</v>
      </c>
      <c r="H14" s="760" t="str">
        <f>'Input-EWEMs'!AF15</f>
        <v/>
      </c>
      <c r="I14" s="761" t="str">
        <f>'Input-EWEMs'!AG15</f>
        <v/>
      </c>
      <c r="J14" s="723" t="str">
        <f t="shared" si="0"/>
        <v>← Hide this row</v>
      </c>
      <c r="L14" s="210"/>
    </row>
    <row r="15" spans="1:14">
      <c r="B15" s="775">
        <v>5</v>
      </c>
      <c r="C15" s="776" t="str">
        <f>IF('Input-EWEMs'!F16="","", 'Input-EWEMs'!F16)</f>
        <v/>
      </c>
      <c r="D15" s="772">
        <f>'Input-EWEMs'!R16</f>
        <v>0</v>
      </c>
      <c r="E15" s="777">
        <f>'Input-EWEMs'!S16</f>
        <v>0</v>
      </c>
      <c r="F15" s="777">
        <f>'Input-EWEMs'!T16</f>
        <v>0</v>
      </c>
      <c r="G15" s="778">
        <f>'Input-EWEMs'!U16</f>
        <v>0</v>
      </c>
      <c r="H15" s="760" t="str">
        <f>'Input-EWEMs'!AF16</f>
        <v/>
      </c>
      <c r="I15" s="761" t="str">
        <f>'Input-EWEMs'!AG16</f>
        <v/>
      </c>
      <c r="J15" s="723" t="str">
        <f t="shared" si="0"/>
        <v>← Hide this row</v>
      </c>
      <c r="L15" s="210"/>
    </row>
    <row r="16" spans="1:14">
      <c r="B16" s="775">
        <v>6</v>
      </c>
      <c r="C16" s="776" t="str">
        <f>IF('Input-EWEMs'!F17="","", 'Input-EWEMs'!F17)</f>
        <v/>
      </c>
      <c r="D16" s="772">
        <f>'Input-EWEMs'!R17</f>
        <v>0</v>
      </c>
      <c r="E16" s="777">
        <f>'Input-EWEMs'!S17</f>
        <v>0</v>
      </c>
      <c r="F16" s="777">
        <f>'Input-EWEMs'!T17</f>
        <v>0</v>
      </c>
      <c r="G16" s="778">
        <f>'Input-EWEMs'!U17</f>
        <v>0</v>
      </c>
      <c r="H16" s="760" t="str">
        <f>'Input-EWEMs'!AF17</f>
        <v/>
      </c>
      <c r="I16" s="761" t="str">
        <f>'Input-EWEMs'!AG17</f>
        <v/>
      </c>
      <c r="J16" s="723" t="str">
        <f t="shared" si="0"/>
        <v>← Hide this row</v>
      </c>
      <c r="L16" s="210"/>
    </row>
    <row r="17" spans="2:12">
      <c r="B17" s="775">
        <v>7</v>
      </c>
      <c r="C17" s="776" t="str">
        <f>IF('Input-EWEMs'!F18="","", 'Input-EWEMs'!F18)</f>
        <v/>
      </c>
      <c r="D17" s="772">
        <f>'Input-EWEMs'!R18</f>
        <v>0</v>
      </c>
      <c r="E17" s="777">
        <f>'Input-EWEMs'!S18</f>
        <v>0</v>
      </c>
      <c r="F17" s="777">
        <f>'Input-EWEMs'!T18</f>
        <v>0</v>
      </c>
      <c r="G17" s="778">
        <f>'Input-EWEMs'!U18</f>
        <v>0</v>
      </c>
      <c r="H17" s="760" t="str">
        <f>'Input-EWEMs'!AF18</f>
        <v/>
      </c>
      <c r="I17" s="761" t="str">
        <f>'Input-EWEMs'!AG18</f>
        <v/>
      </c>
      <c r="J17" s="723" t="str">
        <f t="shared" si="0"/>
        <v>← Hide this row</v>
      </c>
      <c r="L17" s="210"/>
    </row>
    <row r="18" spans="2:12">
      <c r="B18" s="775">
        <v>8</v>
      </c>
      <c r="C18" s="776" t="str">
        <f>IF('Input-EWEMs'!F19="","", 'Input-EWEMs'!F19)</f>
        <v/>
      </c>
      <c r="D18" s="772">
        <f>'Input-EWEMs'!R19</f>
        <v>0</v>
      </c>
      <c r="E18" s="777">
        <f>'Input-EWEMs'!S19</f>
        <v>0</v>
      </c>
      <c r="F18" s="777">
        <f>'Input-EWEMs'!T19</f>
        <v>0</v>
      </c>
      <c r="G18" s="778">
        <f>'Input-EWEMs'!U19</f>
        <v>0</v>
      </c>
      <c r="H18" s="760" t="str">
        <f>'Input-EWEMs'!AF19</f>
        <v/>
      </c>
      <c r="I18" s="761" t="str">
        <f>'Input-EWEMs'!AG19</f>
        <v/>
      </c>
      <c r="J18" s="723" t="str">
        <f t="shared" si="0"/>
        <v>← Hide this row</v>
      </c>
      <c r="L18" s="210"/>
    </row>
    <row r="19" spans="2:12">
      <c r="B19" s="775">
        <v>9</v>
      </c>
      <c r="C19" s="776" t="str">
        <f>IF('Input-EWEMs'!F20="","", 'Input-EWEMs'!F20)</f>
        <v/>
      </c>
      <c r="D19" s="772">
        <f>'Input-EWEMs'!R20</f>
        <v>0</v>
      </c>
      <c r="E19" s="777">
        <f>'Input-EWEMs'!S20</f>
        <v>0</v>
      </c>
      <c r="F19" s="777">
        <f>'Input-EWEMs'!T20</f>
        <v>0</v>
      </c>
      <c r="G19" s="778">
        <f>'Input-EWEMs'!U20</f>
        <v>0</v>
      </c>
      <c r="H19" s="760" t="str">
        <f>'Input-EWEMs'!AF20</f>
        <v/>
      </c>
      <c r="I19" s="761" t="str">
        <f>'Input-EWEMs'!AG20</f>
        <v/>
      </c>
      <c r="J19" s="723" t="str">
        <f t="shared" si="0"/>
        <v>← Hide this row</v>
      </c>
      <c r="L19" s="210"/>
    </row>
    <row r="20" spans="2:12">
      <c r="B20" s="775">
        <v>10</v>
      </c>
      <c r="C20" s="776" t="str">
        <f>IF('Input-EWEMs'!F21="","", 'Input-EWEMs'!F21)</f>
        <v/>
      </c>
      <c r="D20" s="772">
        <f>'Input-EWEMs'!R21</f>
        <v>0</v>
      </c>
      <c r="E20" s="777">
        <f>'Input-EWEMs'!S21</f>
        <v>0</v>
      </c>
      <c r="F20" s="777">
        <f>'Input-EWEMs'!T21</f>
        <v>0</v>
      </c>
      <c r="G20" s="778">
        <f>'Input-EWEMs'!U21</f>
        <v>0</v>
      </c>
      <c r="H20" s="760" t="str">
        <f>'Input-EWEMs'!AF21</f>
        <v/>
      </c>
      <c r="I20" s="761" t="str">
        <f>'Input-EWEMs'!AG21</f>
        <v/>
      </c>
      <c r="J20" s="723" t="str">
        <f t="shared" si="0"/>
        <v>← Hide this row</v>
      </c>
      <c r="L20" s="210"/>
    </row>
    <row r="21" spans="2:12">
      <c r="B21" s="775">
        <v>11</v>
      </c>
      <c r="C21" s="776" t="str">
        <f>IF('Input-EWEMs'!F22="","", 'Input-EWEMs'!F22)</f>
        <v/>
      </c>
      <c r="D21" s="772">
        <f>'Input-EWEMs'!R22</f>
        <v>0</v>
      </c>
      <c r="E21" s="777">
        <f>'Input-EWEMs'!S22</f>
        <v>0</v>
      </c>
      <c r="F21" s="777">
        <f>'Input-EWEMs'!T22</f>
        <v>0</v>
      </c>
      <c r="G21" s="778">
        <f>'Input-EWEMs'!U22</f>
        <v>0</v>
      </c>
      <c r="H21" s="760" t="str">
        <f>'Input-EWEMs'!AF22</f>
        <v/>
      </c>
      <c r="I21" s="761" t="str">
        <f>'Input-EWEMs'!AG22</f>
        <v/>
      </c>
      <c r="J21" s="723" t="str">
        <f t="shared" si="0"/>
        <v>← Hide this row</v>
      </c>
      <c r="L21" s="210"/>
    </row>
    <row r="22" spans="2:12">
      <c r="B22" s="775">
        <v>12</v>
      </c>
      <c r="C22" s="776" t="str">
        <f>IF('Input-EWEMs'!F23="","", 'Input-EWEMs'!F23)</f>
        <v/>
      </c>
      <c r="D22" s="772">
        <f>'Input-EWEMs'!R23</f>
        <v>0</v>
      </c>
      <c r="E22" s="777">
        <f>'Input-EWEMs'!S23</f>
        <v>0</v>
      </c>
      <c r="F22" s="777">
        <f>'Input-EWEMs'!T23</f>
        <v>0</v>
      </c>
      <c r="G22" s="778">
        <f>'Input-EWEMs'!U23</f>
        <v>0</v>
      </c>
      <c r="H22" s="760" t="str">
        <f>'Input-EWEMs'!AF23</f>
        <v/>
      </c>
      <c r="I22" s="761" t="str">
        <f>'Input-EWEMs'!AG23</f>
        <v/>
      </c>
      <c r="J22" s="723" t="str">
        <f t="shared" si="0"/>
        <v>← Hide this row</v>
      </c>
      <c r="L22" s="210"/>
    </row>
    <row r="23" spans="2:12">
      <c r="B23" s="775">
        <v>13</v>
      </c>
      <c r="C23" s="776" t="str">
        <f>IF('Input-EWEMs'!F24="","", 'Input-EWEMs'!F24)</f>
        <v/>
      </c>
      <c r="D23" s="772">
        <f>'Input-EWEMs'!R24</f>
        <v>0</v>
      </c>
      <c r="E23" s="777">
        <f>'Input-EWEMs'!S24</f>
        <v>0</v>
      </c>
      <c r="F23" s="777">
        <f>'Input-EWEMs'!T24</f>
        <v>0</v>
      </c>
      <c r="G23" s="778">
        <f>'Input-EWEMs'!U24</f>
        <v>0</v>
      </c>
      <c r="H23" s="760" t="str">
        <f>'Input-EWEMs'!AF24</f>
        <v/>
      </c>
      <c r="I23" s="761" t="str">
        <f>'Input-EWEMs'!AG24</f>
        <v/>
      </c>
      <c r="J23" s="723" t="str">
        <f t="shared" si="0"/>
        <v>← Hide this row</v>
      </c>
      <c r="L23" s="210"/>
    </row>
    <row r="24" spans="2:12">
      <c r="B24" s="775">
        <v>14</v>
      </c>
      <c r="C24" s="776" t="str">
        <f>IF('Input-EWEMs'!F25="","", 'Input-EWEMs'!F25)</f>
        <v/>
      </c>
      <c r="D24" s="772">
        <f>'Input-EWEMs'!R25</f>
        <v>0</v>
      </c>
      <c r="E24" s="777">
        <f>'Input-EWEMs'!S25</f>
        <v>0</v>
      </c>
      <c r="F24" s="777">
        <f>'Input-EWEMs'!T25</f>
        <v>0</v>
      </c>
      <c r="G24" s="778">
        <f>'Input-EWEMs'!U25</f>
        <v>0</v>
      </c>
      <c r="H24" s="760" t="str">
        <f>'Input-EWEMs'!AF25</f>
        <v/>
      </c>
      <c r="I24" s="761" t="str">
        <f>'Input-EWEMs'!AG25</f>
        <v/>
      </c>
      <c r="J24" s="723" t="str">
        <f t="shared" si="0"/>
        <v>← Hide this row</v>
      </c>
      <c r="L24" s="210"/>
    </row>
    <row r="25" spans="2:12">
      <c r="B25" s="775">
        <v>15</v>
      </c>
      <c r="C25" s="776" t="str">
        <f>IF('Input-EWEMs'!F26="","", 'Input-EWEMs'!F26)</f>
        <v/>
      </c>
      <c r="D25" s="772">
        <f>'Input-EWEMs'!R26</f>
        <v>0</v>
      </c>
      <c r="E25" s="777">
        <f>'Input-EWEMs'!S26</f>
        <v>0</v>
      </c>
      <c r="F25" s="777">
        <f>'Input-EWEMs'!T26</f>
        <v>0</v>
      </c>
      <c r="G25" s="778">
        <f>'Input-EWEMs'!U26</f>
        <v>0</v>
      </c>
      <c r="H25" s="760" t="str">
        <f>'Input-EWEMs'!AF26</f>
        <v/>
      </c>
      <c r="I25" s="761" t="str">
        <f>'Input-EWEMs'!AG26</f>
        <v/>
      </c>
      <c r="J25" s="723" t="str">
        <f t="shared" si="0"/>
        <v>← Hide this row</v>
      </c>
      <c r="L25" s="210"/>
    </row>
    <row r="26" spans="2:12">
      <c r="B26" s="775">
        <v>16</v>
      </c>
      <c r="C26" s="776" t="str">
        <f>IF('Input-EWEMs'!F27="","", 'Input-EWEMs'!F27)</f>
        <v/>
      </c>
      <c r="D26" s="772">
        <f>'Input-EWEMs'!R27</f>
        <v>0</v>
      </c>
      <c r="E26" s="777">
        <f>'Input-EWEMs'!S27</f>
        <v>0</v>
      </c>
      <c r="F26" s="777">
        <f>'Input-EWEMs'!T27</f>
        <v>0</v>
      </c>
      <c r="G26" s="778">
        <f>'Input-EWEMs'!U27</f>
        <v>0</v>
      </c>
      <c r="H26" s="760" t="str">
        <f>'Input-EWEMs'!AF27</f>
        <v/>
      </c>
      <c r="I26" s="761" t="str">
        <f>'Input-EWEMs'!AG27</f>
        <v/>
      </c>
      <c r="J26" s="723" t="str">
        <f t="shared" si="0"/>
        <v>← Hide this row</v>
      </c>
      <c r="L26" s="210"/>
    </row>
    <row r="27" spans="2:12">
      <c r="B27" s="775">
        <v>17</v>
      </c>
      <c r="C27" s="776" t="str">
        <f>IF('Input-EWEMs'!F28="","", 'Input-EWEMs'!F28)</f>
        <v/>
      </c>
      <c r="D27" s="772">
        <f>'Input-EWEMs'!R28</f>
        <v>0</v>
      </c>
      <c r="E27" s="777">
        <f>'Input-EWEMs'!S28</f>
        <v>0</v>
      </c>
      <c r="F27" s="777">
        <f>'Input-EWEMs'!T28</f>
        <v>0</v>
      </c>
      <c r="G27" s="778">
        <f>'Input-EWEMs'!U28</f>
        <v>0</v>
      </c>
      <c r="H27" s="760" t="str">
        <f>'Input-EWEMs'!AF28</f>
        <v/>
      </c>
      <c r="I27" s="761" t="str">
        <f>'Input-EWEMs'!AG28</f>
        <v/>
      </c>
      <c r="J27" s="723" t="str">
        <f t="shared" si="0"/>
        <v>← Hide this row</v>
      </c>
      <c r="L27" s="210"/>
    </row>
    <row r="28" spans="2:12">
      <c r="B28" s="775">
        <v>18</v>
      </c>
      <c r="C28" s="776" t="str">
        <f>IF('Input-EWEMs'!F29="","", 'Input-EWEMs'!F29)</f>
        <v/>
      </c>
      <c r="D28" s="772">
        <f>'Input-EWEMs'!R29</f>
        <v>0</v>
      </c>
      <c r="E28" s="777">
        <f>'Input-EWEMs'!S29</f>
        <v>0</v>
      </c>
      <c r="F28" s="777">
        <f>'Input-EWEMs'!T29</f>
        <v>0</v>
      </c>
      <c r="G28" s="778">
        <f>'Input-EWEMs'!U29</f>
        <v>0</v>
      </c>
      <c r="H28" s="760" t="str">
        <f>'Input-EWEMs'!AF29</f>
        <v/>
      </c>
      <c r="I28" s="761" t="str">
        <f>'Input-EWEMs'!AG29</f>
        <v/>
      </c>
      <c r="J28" s="723" t="str">
        <f t="shared" si="0"/>
        <v>← Hide this row</v>
      </c>
      <c r="L28" s="210"/>
    </row>
    <row r="29" spans="2:12">
      <c r="B29" s="775">
        <v>19</v>
      </c>
      <c r="C29" s="776" t="str">
        <f>IF('Input-EWEMs'!F30="","", 'Input-EWEMs'!F30)</f>
        <v/>
      </c>
      <c r="D29" s="772">
        <f>'Input-EWEMs'!R30</f>
        <v>0</v>
      </c>
      <c r="E29" s="777">
        <f>'Input-EWEMs'!S30</f>
        <v>0</v>
      </c>
      <c r="F29" s="777">
        <f>'Input-EWEMs'!T30</f>
        <v>0</v>
      </c>
      <c r="G29" s="778">
        <f>'Input-EWEMs'!U30</f>
        <v>0</v>
      </c>
      <c r="H29" s="760" t="str">
        <f>'Input-EWEMs'!AF30</f>
        <v/>
      </c>
      <c r="I29" s="761" t="str">
        <f>'Input-EWEMs'!AG30</f>
        <v/>
      </c>
      <c r="J29" s="723" t="str">
        <f t="shared" si="0"/>
        <v>← Hide this row</v>
      </c>
      <c r="L29" s="210"/>
    </row>
    <row r="30" spans="2:12">
      <c r="B30" s="775">
        <v>20</v>
      </c>
      <c r="C30" s="776" t="str">
        <f>IF('Input-EWEMs'!F31="","", 'Input-EWEMs'!F31)</f>
        <v/>
      </c>
      <c r="D30" s="772">
        <f>'Input-EWEMs'!R31</f>
        <v>0</v>
      </c>
      <c r="E30" s="777">
        <f>'Input-EWEMs'!S31</f>
        <v>0</v>
      </c>
      <c r="F30" s="777">
        <f>'Input-EWEMs'!T31</f>
        <v>0</v>
      </c>
      <c r="G30" s="778">
        <f>'Input-EWEMs'!U31</f>
        <v>0</v>
      </c>
      <c r="H30" s="760" t="str">
        <f>'Input-EWEMs'!AF31</f>
        <v/>
      </c>
      <c r="I30" s="761" t="str">
        <f>'Input-EWEMs'!AG31</f>
        <v/>
      </c>
      <c r="J30" s="723" t="str">
        <f t="shared" ref="J30:J40" si="1">IF(C30="", "← Hide this row", "")</f>
        <v>← Hide this row</v>
      </c>
      <c r="L30" s="210"/>
    </row>
    <row r="31" spans="2:12">
      <c r="B31" s="775">
        <v>21</v>
      </c>
      <c r="C31" s="776" t="str">
        <f>IF('Input-EWEMs'!F32="","", 'Input-EWEMs'!F32)</f>
        <v/>
      </c>
      <c r="D31" s="772">
        <f>'Input-EWEMs'!R32</f>
        <v>0</v>
      </c>
      <c r="E31" s="777">
        <f>'Input-EWEMs'!S32</f>
        <v>0</v>
      </c>
      <c r="F31" s="777">
        <f>'Input-EWEMs'!T32</f>
        <v>0</v>
      </c>
      <c r="G31" s="778">
        <f>'Input-EWEMs'!U32</f>
        <v>0</v>
      </c>
      <c r="H31" s="760" t="str">
        <f>'Input-EWEMs'!AF32</f>
        <v/>
      </c>
      <c r="I31" s="761" t="str">
        <f>'Input-EWEMs'!AG32</f>
        <v/>
      </c>
      <c r="J31" s="723" t="str">
        <f t="shared" si="1"/>
        <v>← Hide this row</v>
      </c>
      <c r="L31" s="210"/>
    </row>
    <row r="32" spans="2:12">
      <c r="B32" s="775">
        <v>22</v>
      </c>
      <c r="C32" s="776" t="str">
        <f>IF('Input-EWEMs'!F33="","", 'Input-EWEMs'!F33)</f>
        <v/>
      </c>
      <c r="D32" s="772">
        <f>'Input-EWEMs'!R33</f>
        <v>0</v>
      </c>
      <c r="E32" s="777">
        <f>'Input-EWEMs'!S33</f>
        <v>0</v>
      </c>
      <c r="F32" s="777">
        <f>'Input-EWEMs'!T33</f>
        <v>0</v>
      </c>
      <c r="G32" s="778">
        <f>'Input-EWEMs'!U33</f>
        <v>0</v>
      </c>
      <c r="H32" s="760" t="str">
        <f>'Input-EWEMs'!AF33</f>
        <v/>
      </c>
      <c r="I32" s="761" t="str">
        <f>'Input-EWEMs'!AG33</f>
        <v/>
      </c>
      <c r="J32" s="723" t="str">
        <f t="shared" si="1"/>
        <v>← Hide this row</v>
      </c>
      <c r="L32" s="210"/>
    </row>
    <row r="33" spans="2:12">
      <c r="B33" s="775">
        <v>23</v>
      </c>
      <c r="C33" s="776" t="str">
        <f>IF('Input-EWEMs'!F34="","", 'Input-EWEMs'!F34)</f>
        <v/>
      </c>
      <c r="D33" s="772">
        <f>'Input-EWEMs'!R34</f>
        <v>0</v>
      </c>
      <c r="E33" s="777">
        <f>'Input-EWEMs'!S34</f>
        <v>0</v>
      </c>
      <c r="F33" s="777">
        <f>'Input-EWEMs'!T34</f>
        <v>0</v>
      </c>
      <c r="G33" s="778">
        <f>'Input-EWEMs'!U34</f>
        <v>0</v>
      </c>
      <c r="H33" s="760" t="str">
        <f>'Input-EWEMs'!AF34</f>
        <v/>
      </c>
      <c r="I33" s="761" t="str">
        <f>'Input-EWEMs'!AG34</f>
        <v/>
      </c>
      <c r="J33" s="723" t="str">
        <f t="shared" si="1"/>
        <v>← Hide this row</v>
      </c>
      <c r="L33" s="210"/>
    </row>
    <row r="34" spans="2:12">
      <c r="B34" s="775">
        <v>24</v>
      </c>
      <c r="C34" s="776" t="str">
        <f>IF('Input-EWEMs'!F35="","", 'Input-EWEMs'!F35)</f>
        <v/>
      </c>
      <c r="D34" s="772">
        <f>'Input-EWEMs'!R35</f>
        <v>0</v>
      </c>
      <c r="E34" s="777">
        <f>'Input-EWEMs'!S35</f>
        <v>0</v>
      </c>
      <c r="F34" s="777">
        <f>'Input-EWEMs'!T35</f>
        <v>0</v>
      </c>
      <c r="G34" s="778">
        <f>'Input-EWEMs'!U35</f>
        <v>0</v>
      </c>
      <c r="H34" s="760" t="str">
        <f>'Input-EWEMs'!AF35</f>
        <v/>
      </c>
      <c r="I34" s="761" t="str">
        <f>'Input-EWEMs'!AG35</f>
        <v/>
      </c>
      <c r="J34" s="723" t="str">
        <f t="shared" si="1"/>
        <v>← Hide this row</v>
      </c>
      <c r="L34" s="210"/>
    </row>
    <row r="35" spans="2:12">
      <c r="B35" s="775">
        <v>25</v>
      </c>
      <c r="C35" s="776" t="str">
        <f>IF('Input-EWEMs'!F36="","", 'Input-EWEMs'!F36)</f>
        <v/>
      </c>
      <c r="D35" s="772">
        <f>'Input-EWEMs'!R36</f>
        <v>0</v>
      </c>
      <c r="E35" s="777">
        <f>'Input-EWEMs'!S36</f>
        <v>0</v>
      </c>
      <c r="F35" s="777">
        <f>'Input-EWEMs'!T36</f>
        <v>0</v>
      </c>
      <c r="G35" s="778">
        <f>'Input-EWEMs'!U36</f>
        <v>0</v>
      </c>
      <c r="H35" s="760" t="str">
        <f>'Input-EWEMs'!AF36</f>
        <v/>
      </c>
      <c r="I35" s="761" t="str">
        <f>'Input-EWEMs'!AG36</f>
        <v/>
      </c>
      <c r="J35" s="723" t="str">
        <f t="shared" si="1"/>
        <v>← Hide this row</v>
      </c>
      <c r="L35" s="210"/>
    </row>
    <row r="36" spans="2:12">
      <c r="B36" s="775">
        <v>26</v>
      </c>
      <c r="C36" s="776" t="str">
        <f>IF('Input-EWEMs'!F37="","", 'Input-EWEMs'!F37)</f>
        <v/>
      </c>
      <c r="D36" s="772">
        <f>'Input-EWEMs'!R37</f>
        <v>0</v>
      </c>
      <c r="E36" s="777">
        <f>'Input-EWEMs'!S37</f>
        <v>0</v>
      </c>
      <c r="F36" s="777">
        <f>'Input-EWEMs'!T37</f>
        <v>0</v>
      </c>
      <c r="G36" s="778">
        <f>'Input-EWEMs'!U37</f>
        <v>0</v>
      </c>
      <c r="H36" s="760" t="str">
        <f>'Input-EWEMs'!AF37</f>
        <v/>
      </c>
      <c r="I36" s="761" t="str">
        <f>'Input-EWEMs'!AG37</f>
        <v/>
      </c>
      <c r="J36" s="723" t="str">
        <f t="shared" si="1"/>
        <v>← Hide this row</v>
      </c>
      <c r="L36" s="210"/>
    </row>
    <row r="37" spans="2:12">
      <c r="B37" s="775">
        <v>27</v>
      </c>
      <c r="C37" s="776" t="str">
        <f>IF('Input-EWEMs'!F38="","", 'Input-EWEMs'!F38)</f>
        <v/>
      </c>
      <c r="D37" s="772">
        <f>'Input-EWEMs'!R38</f>
        <v>0</v>
      </c>
      <c r="E37" s="777">
        <f>'Input-EWEMs'!S38</f>
        <v>0</v>
      </c>
      <c r="F37" s="777">
        <f>'Input-EWEMs'!T38</f>
        <v>0</v>
      </c>
      <c r="G37" s="778">
        <f>'Input-EWEMs'!U38</f>
        <v>0</v>
      </c>
      <c r="H37" s="760" t="str">
        <f>'Input-EWEMs'!AF38</f>
        <v/>
      </c>
      <c r="I37" s="761" t="str">
        <f>'Input-EWEMs'!AG38</f>
        <v/>
      </c>
      <c r="J37" s="723" t="str">
        <f t="shared" si="1"/>
        <v>← Hide this row</v>
      </c>
      <c r="L37" s="210"/>
    </row>
    <row r="38" spans="2:12">
      <c r="B38" s="775">
        <v>28</v>
      </c>
      <c r="C38" s="776" t="str">
        <f>IF('Input-EWEMs'!F39="","", 'Input-EWEMs'!F39)</f>
        <v/>
      </c>
      <c r="D38" s="772">
        <f>'Input-EWEMs'!R39</f>
        <v>0</v>
      </c>
      <c r="E38" s="777">
        <f>'Input-EWEMs'!S39</f>
        <v>0</v>
      </c>
      <c r="F38" s="777">
        <f>'Input-EWEMs'!T39</f>
        <v>0</v>
      </c>
      <c r="G38" s="778">
        <f>'Input-EWEMs'!U39</f>
        <v>0</v>
      </c>
      <c r="H38" s="760" t="str">
        <f>'Input-EWEMs'!AF39</f>
        <v/>
      </c>
      <c r="I38" s="761" t="str">
        <f>'Input-EWEMs'!AG39</f>
        <v/>
      </c>
      <c r="J38" s="723" t="str">
        <f t="shared" si="1"/>
        <v>← Hide this row</v>
      </c>
      <c r="L38" s="210"/>
    </row>
    <row r="39" spans="2:12">
      <c r="B39" s="775">
        <v>29</v>
      </c>
      <c r="C39" s="776" t="str">
        <f>IF('Input-EWEMs'!F40="","", 'Input-EWEMs'!F40)</f>
        <v/>
      </c>
      <c r="D39" s="772">
        <f>'Input-EWEMs'!R40</f>
        <v>0</v>
      </c>
      <c r="E39" s="777">
        <f>'Input-EWEMs'!S40</f>
        <v>0</v>
      </c>
      <c r="F39" s="777">
        <f>'Input-EWEMs'!T40</f>
        <v>0</v>
      </c>
      <c r="G39" s="778">
        <f>'Input-EWEMs'!U40</f>
        <v>0</v>
      </c>
      <c r="H39" s="760" t="str">
        <f>'Input-EWEMs'!AF40</f>
        <v/>
      </c>
      <c r="I39" s="761" t="str">
        <f>'Input-EWEMs'!AG40</f>
        <v/>
      </c>
      <c r="J39" s="723" t="str">
        <f t="shared" si="1"/>
        <v>← Hide this row</v>
      </c>
      <c r="L39" s="210"/>
    </row>
    <row r="40" spans="2:12">
      <c r="B40" s="775">
        <v>30</v>
      </c>
      <c r="C40" s="776" t="str">
        <f>IF('Input-EWEMs'!F41="","", 'Input-EWEMs'!F41)</f>
        <v/>
      </c>
      <c r="D40" s="772">
        <f>'Input-EWEMs'!R41</f>
        <v>0</v>
      </c>
      <c r="E40" s="777">
        <f>'Input-EWEMs'!S41</f>
        <v>0</v>
      </c>
      <c r="F40" s="777">
        <f>'Input-EWEMs'!T41</f>
        <v>0</v>
      </c>
      <c r="G40" s="778">
        <f>'Input-EWEMs'!U41</f>
        <v>0</v>
      </c>
      <c r="H40" s="760" t="str">
        <f>'Input-EWEMs'!AF41</f>
        <v/>
      </c>
      <c r="I40" s="761" t="str">
        <f>'Input-EWEMs'!AG41</f>
        <v/>
      </c>
      <c r="J40" s="723" t="str">
        <f t="shared" si="1"/>
        <v>← Hide this row</v>
      </c>
      <c r="L40" s="210"/>
    </row>
    <row r="41" spans="2:12" ht="15">
      <c r="B41" s="763"/>
      <c r="C41" s="779" t="s">
        <v>62</v>
      </c>
      <c r="D41" s="780">
        <f t="shared" ref="D41:F41" si="2">SUM(D11:D40)</f>
        <v>0</v>
      </c>
      <c r="E41" s="781">
        <f t="shared" si="2"/>
        <v>0</v>
      </c>
      <c r="F41" s="781">
        <f t="shared" si="2"/>
        <v>0</v>
      </c>
      <c r="G41" s="782">
        <f>SUM(G11:G40)</f>
        <v>0</v>
      </c>
      <c r="H41" s="783">
        <f t="shared" ref="H41" si="3">SUM(H11:H40)</f>
        <v>0</v>
      </c>
      <c r="I41" s="784">
        <f>SUM(I11:I40)</f>
        <v>0</v>
      </c>
      <c r="J41" s="351"/>
      <c r="L41" s="210"/>
    </row>
    <row r="42" spans="2:12" ht="15.75" customHeight="1">
      <c r="E42" s="785" t="str">
        <f>IF(E9="n/a","Hide this column","")</f>
        <v>Hide this column</v>
      </c>
      <c r="F42" s="785" t="str">
        <f>IF(F9="n/a","Hide this column","")</f>
        <v>Hide this column</v>
      </c>
      <c r="J42" s="351"/>
      <c r="L42" s="210"/>
    </row>
  </sheetData>
  <sheetProtection algorithmName="SHA-512" hashValue="sfPrH5rEKtQTLN5NjMuUjiV1hI4eFtKnW35c+a2+yZiGYwz8Ri/zEbqrIkLmY/4DjaxFvyyTHLTDw6apr15/ag==" saltValue="HfgK7W8AclQ1ILS5FqhqMQ==" spinCount="100000" sheet="1" formatColumns="0" formatRows="0"/>
  <mergeCells count="4">
    <mergeCell ref="C9:C10"/>
    <mergeCell ref="D8:I8"/>
    <mergeCell ref="B9:B10"/>
    <mergeCell ref="B4:I4"/>
  </mergeCells>
  <pageMargins left="0.7" right="0.7" top="0.75" bottom="0.75" header="0.3" footer="0.3"/>
  <pageSetup paperSize="5" scale="84" orientation="landscape" r:id="rId1"/>
  <headerFooter>
    <oddFooter>&amp;L&amp;"Source Sans Pro,Regular"&amp;8© 2019 Fannie Mae. Trademarks of Fannie Mae.&amp;C&amp;"Source Sans Pro,Regular"&amp;8Form 4099.H - September 2019&amp;R&amp;"Source Sans Pro,Regular"&amp;8Page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9"/>
  <sheetViews>
    <sheetView topLeftCell="E1" zoomScaleNormal="100" workbookViewId="0">
      <selection activeCell="G22" sqref="G22"/>
    </sheetView>
  </sheetViews>
  <sheetFormatPr defaultRowHeight="15"/>
  <cols>
    <col min="2" max="2" width="13.5703125" style="28" customWidth="1"/>
    <col min="3" max="4" width="20.42578125" style="28" customWidth="1"/>
    <col min="5" max="5" width="15.28515625" style="28" customWidth="1"/>
    <col min="6" max="6" width="14.28515625" style="28" customWidth="1"/>
    <col min="7" max="7" width="17.5703125" style="28" customWidth="1"/>
    <col min="8" max="8" width="20" style="28" customWidth="1"/>
    <col min="9" max="9" width="20.28515625" style="28" customWidth="1"/>
  </cols>
  <sheetData>
    <row r="1" spans="1:18">
      <c r="A1" s="28" t="s">
        <v>32</v>
      </c>
    </row>
    <row r="2" spans="1:18" s="5" customFormat="1" ht="26.25">
      <c r="A2" s="64"/>
      <c r="B2" s="62" t="s">
        <v>223</v>
      </c>
      <c r="C2" s="62" t="s">
        <v>588</v>
      </c>
      <c r="D2" s="62" t="s">
        <v>47</v>
      </c>
      <c r="E2" s="65" t="s">
        <v>7</v>
      </c>
      <c r="F2" s="62" t="s">
        <v>13</v>
      </c>
      <c r="G2" s="63" t="s">
        <v>92</v>
      </c>
      <c r="H2" s="63" t="s">
        <v>231</v>
      </c>
      <c r="I2" s="63" t="s">
        <v>350</v>
      </c>
      <c r="J2" s="5" t="s">
        <v>351</v>
      </c>
      <c r="L2" s="63" t="s">
        <v>438</v>
      </c>
      <c r="M2" s="63"/>
      <c r="N2" s="63" t="s">
        <v>452</v>
      </c>
      <c r="O2" s="5" t="s">
        <v>600</v>
      </c>
      <c r="P2" s="5" t="s">
        <v>733</v>
      </c>
      <c r="Q2" s="5" t="s">
        <v>648</v>
      </c>
      <c r="R2" s="5" t="s">
        <v>649</v>
      </c>
    </row>
    <row r="3" spans="1:18">
      <c r="A3" s="4"/>
      <c r="B3" s="66" t="s">
        <v>5</v>
      </c>
      <c r="C3" s="58" t="s">
        <v>589</v>
      </c>
      <c r="D3" s="60" t="s">
        <v>115</v>
      </c>
      <c r="E3" s="58" t="s">
        <v>72</v>
      </c>
      <c r="F3" s="58" t="s">
        <v>14</v>
      </c>
      <c r="G3" s="59" t="s">
        <v>89</v>
      </c>
      <c r="H3" s="59" t="s">
        <v>0</v>
      </c>
      <c r="I3" t="s">
        <v>398</v>
      </c>
      <c r="J3">
        <v>1</v>
      </c>
      <c r="K3" t="s">
        <v>353</v>
      </c>
      <c r="L3" s="73"/>
      <c r="M3" s="73"/>
      <c r="N3" t="s">
        <v>453</v>
      </c>
      <c r="O3" t="s">
        <v>264</v>
      </c>
      <c r="P3" t="s">
        <v>23</v>
      </c>
      <c r="Q3" t="s">
        <v>643</v>
      </c>
      <c r="R3" s="33" t="s">
        <v>646</v>
      </c>
    </row>
    <row r="4" spans="1:18">
      <c r="A4" s="4"/>
      <c r="B4" s="66" t="s">
        <v>6</v>
      </c>
      <c r="C4" s="58" t="s">
        <v>590</v>
      </c>
      <c r="D4" s="58" t="s">
        <v>116</v>
      </c>
      <c r="E4" s="58" t="s">
        <v>106</v>
      </c>
      <c r="F4" s="58" t="s">
        <v>15</v>
      </c>
      <c r="G4" s="59" t="s">
        <v>117</v>
      </c>
      <c r="H4" s="59" t="s">
        <v>12</v>
      </c>
      <c r="I4" t="s">
        <v>399</v>
      </c>
      <c r="J4">
        <v>2</v>
      </c>
      <c r="K4" t="s">
        <v>354</v>
      </c>
      <c r="L4" s="73" t="str">
        <f>IF('Input-EWEMs'!D12="","",IF(COUNTIF('Input-EWEMs'!C$52:C$61,'Input-EWEMs'!C12)&lt;1,'Input-EWEMs'!C12,""))</f>
        <v/>
      </c>
      <c r="M4" s="73" t="str">
        <f>IFERROR(SMALL($L$3:$L$33,ROW(L3)-ROW($L$3)+1),"")</f>
        <v/>
      </c>
      <c r="N4" t="s">
        <v>454</v>
      </c>
      <c r="O4" t="s">
        <v>692</v>
      </c>
      <c r="P4" s="73" t="s">
        <v>2</v>
      </c>
      <c r="Q4" t="s">
        <v>691</v>
      </c>
      <c r="R4" s="33" t="s">
        <v>641</v>
      </c>
    </row>
    <row r="5" spans="1:18">
      <c r="A5" s="4"/>
      <c r="B5" s="67" t="s">
        <v>23</v>
      </c>
      <c r="C5" s="60" t="s">
        <v>591</v>
      </c>
      <c r="D5" s="68" t="s">
        <v>478</v>
      </c>
      <c r="E5" s="58" t="s">
        <v>8</v>
      </c>
      <c r="F5" s="58" t="s">
        <v>17</v>
      </c>
      <c r="G5" s="59" t="s">
        <v>371</v>
      </c>
      <c r="H5" s="59" t="s">
        <v>722</v>
      </c>
      <c r="I5" t="s">
        <v>400</v>
      </c>
      <c r="J5">
        <v>3</v>
      </c>
      <c r="K5" t="s">
        <v>355</v>
      </c>
      <c r="L5" s="73" t="str">
        <f>IF('Input-EWEMs'!D13="","",IF(COUNTIF('Input-EWEMs'!C$52:C$61,'Input-EWEMs'!C13)&lt;1,'Input-EWEMs'!C13,""))</f>
        <v/>
      </c>
      <c r="M5" s="73" t="str">
        <f t="shared" ref="M5:M33" si="0">IFERROR(SMALL($L$3:$L$33,ROW(L4)-ROW($L$3)+1),"")</f>
        <v/>
      </c>
      <c r="N5" t="s">
        <v>455</v>
      </c>
      <c r="O5" t="s">
        <v>689</v>
      </c>
      <c r="P5" s="73" t="str">
        <f>IF(AND('Input-Utilities'!C11&lt;&gt;"n/a",'Input-Utilities'!C11&lt;&gt;""), 'Input-Utilities'!C11, "")</f>
        <v/>
      </c>
      <c r="Q5" t="s">
        <v>49</v>
      </c>
      <c r="R5" s="33" t="s">
        <v>642</v>
      </c>
    </row>
    <row r="6" spans="1:18">
      <c r="A6" s="4"/>
      <c r="B6" s="58"/>
      <c r="C6" s="58" t="s">
        <v>592</v>
      </c>
      <c r="D6" s="28" t="s">
        <v>477</v>
      </c>
      <c r="E6" s="58" t="s">
        <v>9</v>
      </c>
      <c r="F6" s="58" t="s">
        <v>16</v>
      </c>
      <c r="G6" s="59" t="s">
        <v>23</v>
      </c>
      <c r="H6" s="28" t="s">
        <v>723</v>
      </c>
      <c r="I6" t="s">
        <v>794</v>
      </c>
      <c r="L6" s="73" t="str">
        <f>IF('Input-EWEMs'!D14="","",IF(COUNTIF('Input-EWEMs'!C$52:C$61,'Input-EWEMs'!C14)&lt;1,'Input-EWEMs'!C14,""))</f>
        <v/>
      </c>
      <c r="M6" s="73" t="str">
        <f t="shared" si="0"/>
        <v/>
      </c>
      <c r="O6" t="s">
        <v>601</v>
      </c>
      <c r="P6" s="73" t="str">
        <f>IF(AND('Input-Utilities'!C12&lt;&gt;"n/a",'Input-Utilities'!C12&lt;&gt;""), 'Input-Utilities'!C12, "")</f>
        <v/>
      </c>
      <c r="R6" s="33" t="s">
        <v>49</v>
      </c>
    </row>
    <row r="7" spans="1:18">
      <c r="A7" s="4"/>
      <c r="B7" s="58"/>
      <c r="C7" s="60" t="s">
        <v>23</v>
      </c>
      <c r="D7" s="60" t="s">
        <v>23</v>
      </c>
      <c r="E7" s="58" t="s">
        <v>10</v>
      </c>
      <c r="F7" s="58"/>
      <c r="H7" s="28" t="s">
        <v>724</v>
      </c>
      <c r="I7" t="s">
        <v>795</v>
      </c>
      <c r="L7" s="73" t="str">
        <f>IF('Input-EWEMs'!D15="","",IF(COUNTIF('Input-EWEMs'!C$52:C$61,'Input-EWEMs'!C15)&lt;1,'Input-EWEMs'!C15,""))</f>
        <v/>
      </c>
      <c r="M7" s="73" t="str">
        <f t="shared" si="0"/>
        <v/>
      </c>
      <c r="O7" t="s">
        <v>602</v>
      </c>
    </row>
    <row r="8" spans="1:18">
      <c r="A8" s="4"/>
      <c r="B8" s="58"/>
      <c r="D8" s="58" t="s">
        <v>110</v>
      </c>
      <c r="E8" s="58" t="s">
        <v>11</v>
      </c>
      <c r="F8" s="58"/>
      <c r="H8" s="59" t="s">
        <v>232</v>
      </c>
      <c r="I8" t="s">
        <v>401</v>
      </c>
      <c r="L8" s="73" t="str">
        <f>IF('Input-EWEMs'!D16="","",IF(COUNTIF('Input-EWEMs'!C$52:C$61,'Input-EWEMs'!C16)&lt;1,'Input-EWEMs'!C16,""))</f>
        <v/>
      </c>
      <c r="M8" s="73" t="str">
        <f t="shared" si="0"/>
        <v/>
      </c>
      <c r="O8" t="s">
        <v>49</v>
      </c>
    </row>
    <row r="9" spans="1:18">
      <c r="A9" s="4"/>
      <c r="B9" s="58"/>
      <c r="D9" s="58" t="s">
        <v>111</v>
      </c>
      <c r="E9" s="60" t="s">
        <v>233</v>
      </c>
      <c r="F9" s="58"/>
      <c r="H9" s="59" t="s">
        <v>23</v>
      </c>
      <c r="I9" t="s">
        <v>402</v>
      </c>
      <c r="L9" s="73" t="str">
        <f>IF('Input-EWEMs'!D17="","",IF(COUNTIF('Input-EWEMs'!C$52:C$61,'Input-EWEMs'!C17)&lt;1,'Input-EWEMs'!C17,""))</f>
        <v/>
      </c>
      <c r="M9" s="73" t="str">
        <f t="shared" si="0"/>
        <v/>
      </c>
    </row>
    <row r="10" spans="1:18">
      <c r="A10" s="4"/>
      <c r="B10" s="58"/>
      <c r="C10" s="58"/>
      <c r="E10" s="60" t="s">
        <v>23</v>
      </c>
      <c r="F10" s="58"/>
      <c r="I10" t="s">
        <v>403</v>
      </c>
      <c r="L10" s="73" t="str">
        <f>IF('Input-EWEMs'!D18="","",IF(COUNTIF('Input-EWEMs'!C$52:C$61,'Input-EWEMs'!C18)&lt;1,'Input-EWEMs'!C18,""))</f>
        <v/>
      </c>
      <c r="M10" s="73" t="str">
        <f t="shared" si="0"/>
        <v/>
      </c>
    </row>
    <row r="11" spans="1:18" s="2" customFormat="1">
      <c r="B11" s="61"/>
      <c r="C11" s="61"/>
      <c r="E11" s="61"/>
      <c r="F11" s="61"/>
      <c r="G11" s="61"/>
      <c r="H11" s="61"/>
      <c r="I11" t="s">
        <v>751</v>
      </c>
      <c r="L11" s="73" t="str">
        <f>IF('Input-EWEMs'!D19="","",IF(COUNTIF('Input-EWEMs'!C$52:C$61,'Input-EWEMs'!C19)&lt;1,'Input-EWEMs'!C19,""))</f>
        <v/>
      </c>
      <c r="M11" s="73" t="str">
        <f t="shared" si="0"/>
        <v/>
      </c>
    </row>
    <row r="12" spans="1:18">
      <c r="I12" t="s">
        <v>404</v>
      </c>
      <c r="L12" s="73" t="str">
        <f>IF('Input-EWEMs'!D20="","",IF(COUNTIF('Input-EWEMs'!C$52:C$61,'Input-EWEMs'!C20)&lt;1,'Input-EWEMs'!C20,""))</f>
        <v/>
      </c>
      <c r="M12" s="73" t="str">
        <f t="shared" si="0"/>
        <v/>
      </c>
    </row>
    <row r="13" spans="1:18">
      <c r="I13" t="s">
        <v>405</v>
      </c>
      <c r="L13" s="73" t="str">
        <f>IF('Input-EWEMs'!D21="","",IF(COUNTIF('Input-EWEMs'!C$52:C$61,'Input-EWEMs'!C21)&lt;1,'Input-EWEMs'!C21,""))</f>
        <v/>
      </c>
      <c r="M13" s="73" t="str">
        <f t="shared" si="0"/>
        <v/>
      </c>
      <c r="R13" s="26"/>
    </row>
    <row r="14" spans="1:18">
      <c r="I14" t="s">
        <v>793</v>
      </c>
      <c r="L14" s="73" t="str">
        <f>IF('Input-EWEMs'!D22="","",IF(COUNTIF('Input-EWEMs'!C$52:C$61,'Input-EWEMs'!C22)&lt;1,'Input-EWEMs'!C22,""))</f>
        <v/>
      </c>
      <c r="M14" s="73" t="str">
        <f t="shared" si="0"/>
        <v/>
      </c>
      <c r="R14" s="26"/>
    </row>
    <row r="15" spans="1:18">
      <c r="I15" t="s">
        <v>406</v>
      </c>
      <c r="L15" s="73" t="str">
        <f>IF('Input-EWEMs'!D23="","",IF(COUNTIF('Input-EWEMs'!C$52:C$61,'Input-EWEMs'!C23)&lt;1,'Input-EWEMs'!C23,""))</f>
        <v/>
      </c>
      <c r="M15" s="73" t="str">
        <f t="shared" si="0"/>
        <v/>
      </c>
    </row>
    <row r="16" spans="1:18">
      <c r="I16" t="s">
        <v>796</v>
      </c>
      <c r="L16" s="73" t="str">
        <f>IF('Input-EWEMs'!D24="","",IF(COUNTIF('Input-EWEMs'!C$52:C$61,'Input-EWEMs'!C24)&lt;1,'Input-EWEMs'!C24,""))</f>
        <v/>
      </c>
      <c r="M16" s="73" t="str">
        <f t="shared" si="0"/>
        <v/>
      </c>
    </row>
    <row r="17" spans="9:13">
      <c r="I17" t="s">
        <v>407</v>
      </c>
      <c r="L17" s="73" t="str">
        <f>IF('Input-EWEMs'!D25="","",IF(COUNTIF('Input-EWEMs'!C$52:C$61,'Input-EWEMs'!C25)&lt;1,'Input-EWEMs'!C25,""))</f>
        <v/>
      </c>
      <c r="M17" s="73" t="str">
        <f t="shared" si="0"/>
        <v/>
      </c>
    </row>
    <row r="18" spans="9:13">
      <c r="I18" t="s">
        <v>797</v>
      </c>
      <c r="L18" s="73" t="str">
        <f>IF('Input-EWEMs'!D26="","",IF(COUNTIF('Input-EWEMs'!C$52:C$61,'Input-EWEMs'!C26)&lt;1,'Input-EWEMs'!C26,""))</f>
        <v/>
      </c>
      <c r="M18" s="73" t="str">
        <f t="shared" si="0"/>
        <v/>
      </c>
    </row>
    <row r="19" spans="9:13">
      <c r="I19" t="s">
        <v>408</v>
      </c>
      <c r="L19" s="73" t="str">
        <f>IF('Input-EWEMs'!D27="","",IF(COUNTIF('Input-EWEMs'!C$52:C$61,'Input-EWEMs'!C27)&lt;1,'Input-EWEMs'!C27,""))</f>
        <v/>
      </c>
      <c r="M19" s="73" t="str">
        <f t="shared" si="0"/>
        <v/>
      </c>
    </row>
    <row r="20" spans="9:13">
      <c r="I20" t="s">
        <v>409</v>
      </c>
      <c r="L20" s="73" t="str">
        <f>IF('Input-EWEMs'!D28="","",IF(COUNTIF('Input-EWEMs'!C$52:C$61,'Input-EWEMs'!C28)&lt;1,'Input-EWEMs'!C28,""))</f>
        <v/>
      </c>
      <c r="M20" s="73" t="str">
        <f t="shared" si="0"/>
        <v/>
      </c>
    </row>
    <row r="21" spans="9:13">
      <c r="I21" t="s">
        <v>410</v>
      </c>
      <c r="L21" s="73" t="str">
        <f>IF('Input-EWEMs'!D29="","",IF(COUNTIF('Input-EWEMs'!C$52:C$61,'Input-EWEMs'!C29)&lt;1,'Input-EWEMs'!C29,""))</f>
        <v/>
      </c>
      <c r="M21" s="73" t="str">
        <f t="shared" si="0"/>
        <v/>
      </c>
    </row>
    <row r="22" spans="9:13">
      <c r="I22" t="s">
        <v>798</v>
      </c>
      <c r="L22" s="73" t="str">
        <f>IF('Input-EWEMs'!D30="","",IF(COUNTIF('Input-EWEMs'!C$52:C$61,'Input-EWEMs'!C30)&lt;1,'Input-EWEMs'!C30,""))</f>
        <v/>
      </c>
      <c r="M22" s="73" t="str">
        <f t="shared" si="0"/>
        <v/>
      </c>
    </row>
    <row r="23" spans="9:13">
      <c r="I23" t="s">
        <v>799</v>
      </c>
      <c r="L23" s="73" t="str">
        <f>IF('Input-EWEMs'!D31="","",IF(COUNTIF('Input-EWEMs'!C$52:C$61,'Input-EWEMs'!C31)&lt;1,'Input-EWEMs'!C31,""))</f>
        <v/>
      </c>
      <c r="M23" s="73" t="str">
        <f t="shared" si="0"/>
        <v/>
      </c>
    </row>
    <row r="24" spans="9:13">
      <c r="I24" t="s">
        <v>800</v>
      </c>
      <c r="L24" s="73" t="str">
        <f>IF('Input-EWEMs'!D32="","",IF(COUNTIF('Input-EWEMs'!C$52:C$61,'Input-EWEMs'!C32)&lt;1,'Input-EWEMs'!C32,""))</f>
        <v/>
      </c>
      <c r="M24" s="73" t="str">
        <f t="shared" si="0"/>
        <v/>
      </c>
    </row>
    <row r="25" spans="9:13">
      <c r="I25" t="s">
        <v>801</v>
      </c>
      <c r="L25" s="73" t="str">
        <f>IF('Input-EWEMs'!D33="","",IF(COUNTIF('Input-EWEMs'!C$52:C$61,'Input-EWEMs'!C33)&lt;1,'Input-EWEMs'!C33,""))</f>
        <v/>
      </c>
      <c r="M25" s="73" t="str">
        <f t="shared" si="0"/>
        <v/>
      </c>
    </row>
    <row r="26" spans="9:13">
      <c r="I26" t="s">
        <v>412</v>
      </c>
      <c r="L26" s="73" t="str">
        <f>IF('Input-EWEMs'!D34="","",IF(COUNTIF('Input-EWEMs'!C$52:C$61,'Input-EWEMs'!C34)&lt;1,'Input-EWEMs'!C34,""))</f>
        <v/>
      </c>
      <c r="M26" s="73" t="str">
        <f t="shared" si="0"/>
        <v/>
      </c>
    </row>
    <row r="27" spans="9:13">
      <c r="I27" t="s">
        <v>411</v>
      </c>
      <c r="L27" s="73" t="str">
        <f>IF('Input-EWEMs'!D35="","",IF(COUNTIF('Input-EWEMs'!C$52:C$61,'Input-EWEMs'!C35)&lt;1,'Input-EWEMs'!C35,""))</f>
        <v/>
      </c>
      <c r="M27" s="73" t="str">
        <f t="shared" si="0"/>
        <v/>
      </c>
    </row>
    <row r="28" spans="9:13">
      <c r="I28" t="s">
        <v>802</v>
      </c>
      <c r="L28" s="73" t="str">
        <f>IF('Input-EWEMs'!D36="","",IF(COUNTIF('Input-EWEMs'!C$52:C$61,'Input-EWEMs'!C36)&lt;1,'Input-EWEMs'!C36,""))</f>
        <v/>
      </c>
      <c r="M28" s="73" t="str">
        <f t="shared" si="0"/>
        <v/>
      </c>
    </row>
    <row r="29" spans="9:13">
      <c r="I29" t="s">
        <v>803</v>
      </c>
      <c r="L29" s="73" t="str">
        <f>IF('Input-EWEMs'!D37="","",IF(COUNTIF('Input-EWEMs'!C$52:C$61,'Input-EWEMs'!C37)&lt;1,'Input-EWEMs'!C37,""))</f>
        <v/>
      </c>
      <c r="M29" s="73" t="str">
        <f t="shared" si="0"/>
        <v/>
      </c>
    </row>
    <row r="30" spans="9:13">
      <c r="I30" t="s">
        <v>752</v>
      </c>
      <c r="L30" s="73" t="str">
        <f>IF('Input-EWEMs'!D38="","",IF(COUNTIF('Input-EWEMs'!C$52:C$61,'Input-EWEMs'!C38)&lt;1,'Input-EWEMs'!C38,""))</f>
        <v/>
      </c>
      <c r="M30" s="73" t="str">
        <f t="shared" si="0"/>
        <v/>
      </c>
    </row>
    <row r="31" spans="9:13">
      <c r="I31" t="s">
        <v>413</v>
      </c>
      <c r="L31" s="73" t="str">
        <f>IF('Input-EWEMs'!D39="","",IF(COUNTIF('Input-EWEMs'!C$52:C$61,'Input-EWEMs'!C39)&lt;1,'Input-EWEMs'!C39,""))</f>
        <v/>
      </c>
      <c r="M31" s="73" t="str">
        <f t="shared" si="0"/>
        <v/>
      </c>
    </row>
    <row r="32" spans="9:13">
      <c r="I32" t="s">
        <v>414</v>
      </c>
      <c r="L32" s="73" t="str">
        <f>IF('Input-EWEMs'!D40="","",IF(COUNTIF('Input-EWEMs'!C$52:C$61,'Input-EWEMs'!C40)&lt;1,'Input-EWEMs'!C40,""))</f>
        <v/>
      </c>
      <c r="M32" s="73" t="str">
        <f t="shared" si="0"/>
        <v/>
      </c>
    </row>
    <row r="33" spans="9:13">
      <c r="I33" t="s">
        <v>415</v>
      </c>
      <c r="L33" s="73" t="str">
        <f>IF('Input-EWEMs'!D41="","",IF(COUNTIF('Input-EWEMs'!C$52:C$61,'Input-EWEMs'!C41)&lt;1,'Input-EWEMs'!C41,""))</f>
        <v/>
      </c>
      <c r="M33" s="73" t="str">
        <f t="shared" si="0"/>
        <v/>
      </c>
    </row>
    <row r="34" spans="9:13">
      <c r="I34" s="28" t="s">
        <v>49</v>
      </c>
    </row>
    <row r="79" spans="2:2">
      <c r="B79" s="57"/>
    </row>
  </sheetData>
  <pageMargins left="0.7" right="0.7" top="0.75" bottom="0.75" header="0.3" footer="0.3"/>
  <pageSetup scale="79" orientation="portrait" r:id="rId1"/>
  <headerFooter>
    <oddFooter>&amp;L&amp;"Arial,Regular"May, 2017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77"/>
  <sheetViews>
    <sheetView showGridLines="0" topLeftCell="A16" zoomScale="90" zoomScaleNormal="90" workbookViewId="0">
      <selection activeCell="V13" sqref="V13"/>
    </sheetView>
  </sheetViews>
  <sheetFormatPr defaultColWidth="9.28515625" defaultRowHeight="12"/>
  <cols>
    <col min="1" max="2" width="2.28515625" style="351" customWidth="1"/>
    <col min="3" max="8" width="9.28515625" style="351"/>
    <col min="9" max="9" width="2.28515625" style="351" customWidth="1"/>
    <col min="10" max="14" width="9.28515625" style="351"/>
    <col min="15" max="15" width="9.28515625" style="351" hidden="1" customWidth="1"/>
    <col min="16" max="16384" width="9.28515625" style="351"/>
  </cols>
  <sheetData>
    <row r="1" spans="1:16" s="187" customFormat="1" ht="15" customHeight="1">
      <c r="C1" s="207"/>
      <c r="D1" s="207"/>
      <c r="E1" s="207"/>
      <c r="F1" s="207"/>
      <c r="G1" s="207"/>
      <c r="H1" s="207"/>
      <c r="I1" s="207"/>
      <c r="J1" s="207"/>
      <c r="K1" s="207"/>
      <c r="L1" s="207"/>
    </row>
    <row r="2" spans="1:16" s="188" customFormat="1" ht="26.25">
      <c r="B2" s="208" t="s">
        <v>325</v>
      </c>
      <c r="G2" s="186"/>
    </row>
    <row r="3" spans="1:16" s="187" customFormat="1" ht="29.25" customHeight="1">
      <c r="A3" s="188"/>
      <c r="B3" s="1049" t="s">
        <v>827</v>
      </c>
      <c r="C3" s="1049"/>
      <c r="D3" s="1049"/>
      <c r="E3" s="1049"/>
      <c r="F3" s="1049"/>
      <c r="G3" s="1049"/>
      <c r="H3" s="1049"/>
      <c r="I3" s="1049"/>
      <c r="J3" s="1049"/>
      <c r="K3" s="1049"/>
      <c r="L3" s="1049"/>
      <c r="M3" s="1049"/>
      <c r="N3" s="1049"/>
      <c r="O3" s="1049"/>
      <c r="P3" s="711"/>
    </row>
    <row r="4" spans="1:16" s="213" customFormat="1">
      <c r="C4" s="215"/>
      <c r="D4" s="215"/>
    </row>
    <row r="6" spans="1:16">
      <c r="B6" s="786" t="str">
        <f>measures_table[[#Headers],[Advanced controls and metering]]</f>
        <v>Advanced controls and metering</v>
      </c>
      <c r="C6" s="787"/>
      <c r="D6" s="787"/>
      <c r="E6" s="787"/>
      <c r="F6" s="787"/>
      <c r="G6" s="787"/>
      <c r="I6" s="786" t="str">
        <f>measures_table[[#Headers],[Heating ventilating and air conditioning]]</f>
        <v>Heating ventilating and air conditioning</v>
      </c>
      <c r="J6" s="787"/>
      <c r="K6" s="787"/>
      <c r="L6" s="787"/>
      <c r="M6" s="787"/>
      <c r="N6" s="787"/>
    </row>
    <row r="7" spans="1:16">
      <c r="C7" s="351" t="str">
        <f>MeasureList!A3</f>
        <v>Add or upgrade BAS/EMS/EMCS</v>
      </c>
      <c r="J7" s="351" t="str">
        <f>MeasureList!I3</f>
        <v>Install smart thermostats</v>
      </c>
    </row>
    <row r="8" spans="1:16">
      <c r="C8" s="351" t="str">
        <f>MeasureList!A4</f>
        <v>Add or upgrade controls</v>
      </c>
      <c r="J8" s="351" t="str">
        <f>MeasureList!I4</f>
        <v>Install or replace heat pumps</v>
      </c>
    </row>
    <row r="9" spans="1:16">
      <c r="C9" s="213" t="str">
        <f>MeasureList!A5</f>
        <v>Convert pneumatic controls to DDC</v>
      </c>
      <c r="J9" s="725" t="str">
        <f>MeasureList!I5</f>
        <v>Replace split system AC</v>
      </c>
    </row>
    <row r="10" spans="1:16">
      <c r="C10" s="351" t="str">
        <f>MeasureList!A6</f>
        <v>Install advanced metering systems</v>
      </c>
      <c r="J10" s="725" t="str">
        <f>MeasureList!I6</f>
        <v>Replace split system AC with furnace</v>
      </c>
    </row>
    <row r="11" spans="1:16">
      <c r="C11" s="351" t="str">
        <f>MeasureList!A7</f>
        <v>Other</v>
      </c>
      <c r="J11" s="725" t="str">
        <f>MeasureList!I7</f>
        <v>Replace furnace</v>
      </c>
    </row>
    <row r="12" spans="1:16">
      <c r="J12" s="725" t="str">
        <f>MeasureList!I8</f>
        <v>Replace package units</v>
      </c>
    </row>
    <row r="13" spans="1:16">
      <c r="B13" s="786" t="str">
        <f>measures_table[[#Headers],[Appliances and plug load reductions]]</f>
        <v>Appliances and plug load reductions</v>
      </c>
      <c r="C13" s="787"/>
      <c r="D13" s="787"/>
      <c r="E13" s="787"/>
      <c r="F13" s="787"/>
      <c r="G13" s="787"/>
      <c r="J13" s="725" t="str">
        <f>MeasureList!I9</f>
        <v>Replace or modify AHU</v>
      </c>
    </row>
    <row r="14" spans="1:16">
      <c r="C14" s="351" t="str">
        <f>MeasureList!B3</f>
        <v>Replace dishwashers with ENERGY STAR rated</v>
      </c>
      <c r="J14" s="351" t="str">
        <f>MeasureList!I10</f>
        <v>Replace PTACs</v>
      </c>
    </row>
    <row r="15" spans="1:16">
      <c r="C15" s="351" t="str">
        <f>MeasureList!B4</f>
        <v>Replace clothes dryers with ENERGY STAR rated</v>
      </c>
      <c r="J15" s="351" t="str">
        <f>MeasureList!I11</f>
        <v>Replace wall/window AC</v>
      </c>
    </row>
    <row r="16" spans="1:16">
      <c r="C16" s="351" t="str">
        <f>MeasureList!B5</f>
        <v>Replace washing machines ENERGY STAR rated</v>
      </c>
      <c r="J16" s="351" t="str">
        <f>MeasureList!I12</f>
        <v>Add duct insulation</v>
      </c>
    </row>
    <row r="17" spans="2:14">
      <c r="C17" s="351" t="str">
        <f>MeasureList!B6</f>
        <v>Replace refrigerators with ENERGY STAR rated</v>
      </c>
      <c r="J17" s="351" t="str">
        <f>MeasureList!I13</f>
        <v>Seal ducts</v>
      </c>
    </row>
    <row r="18" spans="2:14">
      <c r="C18" s="351" t="str">
        <f>MeasureList!B7</f>
        <v>Install plug load controls</v>
      </c>
      <c r="J18" s="351" t="str">
        <f>MeasureList!I14</f>
        <v>Replace exhaust or ventilation fans</v>
      </c>
    </row>
    <row r="19" spans="2:14">
      <c r="C19" s="351" t="str">
        <f>MeasureList!B8</f>
        <v>Other</v>
      </c>
      <c r="J19" s="351" t="str">
        <f>MeasureList!I15</f>
        <v>Upgrade and balance ventilation system</v>
      </c>
    </row>
    <row r="20" spans="2:14">
      <c r="J20" s="351" t="str">
        <f>MeasureList!I16</f>
        <v>Install ground source heat pump system</v>
      </c>
    </row>
    <row r="21" spans="2:14">
      <c r="B21" s="786" t="str">
        <f>measures_table[[#Headers],[Boiler plant improvements]]</f>
        <v>Boiler plant improvements</v>
      </c>
      <c r="C21" s="787"/>
      <c r="D21" s="787"/>
      <c r="E21" s="787"/>
      <c r="F21" s="787"/>
      <c r="G21" s="787"/>
      <c r="J21" s="351" t="str">
        <f>MeasureList!I17</f>
        <v>Add or replace cooling tower</v>
      </c>
    </row>
    <row r="22" spans="2:14">
      <c r="C22" s="351" t="str">
        <f>MeasureList!C3</f>
        <v>Replace central heating boiler</v>
      </c>
      <c r="J22" s="213" t="str">
        <f>MeasureList!I18</f>
        <v>Add economizer</v>
      </c>
    </row>
    <row r="23" spans="2:14">
      <c r="C23" s="351" t="str">
        <f>MeasureList!C4</f>
        <v>Replace individual heating boiler</v>
      </c>
      <c r="J23" s="351" t="str">
        <f>MeasureList!I19</f>
        <v>Add energy recovery</v>
      </c>
    </row>
    <row r="24" spans="2:14">
      <c r="C24" s="351" t="str">
        <f>MeasureList!C5</f>
        <v>Replace burner</v>
      </c>
      <c r="J24" s="351" t="str">
        <f>MeasureList!I20</f>
        <v>Other heating</v>
      </c>
    </row>
    <row r="25" spans="2:14">
      <c r="C25" s="351" t="str">
        <f>MeasureList!C6</f>
        <v>Insulate boiler room</v>
      </c>
      <c r="J25" s="351" t="str">
        <f>MeasureList!I21</f>
        <v>Other cooling</v>
      </c>
    </row>
    <row r="26" spans="2:14">
      <c r="C26" s="351" t="str">
        <f>MeasureList!C7</f>
        <v>Insulate boiler</v>
      </c>
      <c r="J26" s="351" t="str">
        <f>MeasureList!I22</f>
        <v>Other ventilation</v>
      </c>
    </row>
    <row r="27" spans="2:14">
      <c r="C27" s="351" t="str">
        <f>MeasureList!C8</f>
        <v>Add energy recovery</v>
      </c>
      <c r="J27" s="351" t="str">
        <f>MeasureList!I23</f>
        <v>Other distribution</v>
      </c>
    </row>
    <row r="28" spans="2:14">
      <c r="C28" s="351" t="str">
        <f>MeasureList!C9</f>
        <v>Convert system from steam to hot water</v>
      </c>
      <c r="J28" s="351" t="str">
        <f>MeasureList!I24</f>
        <v>Other</v>
      </c>
    </row>
    <row r="29" spans="2:14">
      <c r="C29" s="351" t="str">
        <f>MeasureList!C10</f>
        <v>Upgrade controls</v>
      </c>
    </row>
    <row r="30" spans="2:14">
      <c r="C30" s="351" t="str">
        <f>MeasureList!C11</f>
        <v>Other</v>
      </c>
      <c r="I30" s="786" t="str">
        <f>measures_table[[#Headers],[Lighting]]</f>
        <v>Lighting</v>
      </c>
      <c r="J30" s="787"/>
      <c r="K30" s="787"/>
      <c r="L30" s="787"/>
      <c r="M30" s="787"/>
      <c r="N30" s="787"/>
    </row>
    <row r="31" spans="2:14">
      <c r="J31" s="351" t="str">
        <f>MeasureList!J3</f>
        <v>Upgrade whole building lighting</v>
      </c>
    </row>
    <row r="32" spans="2:14">
      <c r="B32" s="786" t="str">
        <f>measures_table[[#Headers],[Building envelope]]</f>
        <v>Building envelope</v>
      </c>
      <c r="C32" s="787"/>
      <c r="D32" s="787"/>
      <c r="E32" s="787"/>
      <c r="F32" s="787"/>
      <c r="G32" s="787"/>
      <c r="J32" s="351" t="str">
        <f>MeasureList!J4</f>
        <v>Upgrade common area lighting</v>
      </c>
    </row>
    <row r="33" spans="2:15">
      <c r="C33" s="351" t="str">
        <f>MeasureList!D3</f>
        <v>Air seal envelope/weather-strip</v>
      </c>
      <c r="J33" s="351" t="str">
        <f>MeasureList!J5</f>
        <v>Upgrade exterior lighting</v>
      </c>
    </row>
    <row r="34" spans="2:15">
      <c r="C34" s="351" t="str">
        <f>MeasureList!D4</f>
        <v>Increase wall insulation</v>
      </c>
      <c r="J34" s="351" t="str">
        <f>MeasureList!J6</f>
        <v>Upgrade in-unit lighting</v>
      </c>
    </row>
    <row r="35" spans="2:15">
      <c r="C35" s="351" t="str">
        <f>MeasureList!D5</f>
        <v>Increase roof insulation</v>
      </c>
      <c r="J35" s="351" t="str">
        <f>MeasureList!J7</f>
        <v>Install sensors/controls</v>
      </c>
    </row>
    <row r="36" spans="2:15">
      <c r="C36" s="351" t="str">
        <f>MeasureList!D6</f>
        <v>Add attic insulation</v>
      </c>
      <c r="J36" s="351" t="str">
        <f>MeasureList!J8</f>
        <v>Other</v>
      </c>
    </row>
    <row r="37" spans="2:15">
      <c r="C37" s="351" t="str">
        <f>MeasureList!D7</f>
        <v>Insulate foundation</v>
      </c>
    </row>
    <row r="38" spans="2:15">
      <c r="C38" s="351" t="str">
        <f>MeasureList!D8</f>
        <v>Replace roof</v>
      </c>
      <c r="I38" s="786" t="str">
        <f>measures_table[[#Headers],[Renewable energy systems]]</f>
        <v>Renewable energy systems</v>
      </c>
      <c r="J38" s="787"/>
      <c r="K38" s="787"/>
      <c r="L38" s="787"/>
      <c r="M38" s="787"/>
      <c r="N38" s="787"/>
    </row>
    <row r="39" spans="2:15">
      <c r="C39" s="351" t="str">
        <f>MeasureList!D9</f>
        <v>Replace windows</v>
      </c>
      <c r="J39" s="351" t="str">
        <f>MeasureList!K3</f>
        <v>Install photovoltaic system</v>
      </c>
    </row>
    <row r="40" spans="2:15">
      <c r="C40" s="351" t="str">
        <f>MeasureList!D10</f>
        <v>Replace doors</v>
      </c>
      <c r="J40" s="351" t="str">
        <f>MeasureList!K4</f>
        <v>Install photovoltaic system with battery storage</v>
      </c>
    </row>
    <row r="41" spans="2:15">
      <c r="C41" s="351" t="str">
        <f>MeasureList!D11</f>
        <v>Add storm windows</v>
      </c>
      <c r="J41" s="351" t="str">
        <f>MeasureList!K5</f>
        <v>Install battery storage</v>
      </c>
    </row>
    <row r="42" spans="2:15">
      <c r="C42" s="351" t="str">
        <f>MeasureList!D12</f>
        <v>Add window films</v>
      </c>
      <c r="J42" s="351" t="str">
        <f>MeasureList!K6</f>
        <v>Install wind energy system</v>
      </c>
    </row>
    <row r="43" spans="2:15">
      <c r="C43" s="351" t="str">
        <f>MeasureList!D13</f>
        <v>Install or replace solar screens</v>
      </c>
      <c r="J43" s="351" t="str">
        <f>MeasureList!K7</f>
        <v>Upgrade controls</v>
      </c>
    </row>
    <row r="44" spans="2:15">
      <c r="C44" s="351" t="str">
        <f>MeasureList!D14</f>
        <v>Install cool/green roof</v>
      </c>
      <c r="J44" s="351" t="str">
        <f>MeasureList!K8</f>
        <v>Other</v>
      </c>
    </row>
    <row r="45" spans="2:15">
      <c r="C45" s="351" t="str">
        <f>MeasureList!D15</f>
        <v>Other</v>
      </c>
    </row>
    <row r="46" spans="2:15">
      <c r="I46" s="786" t="str">
        <f>measures_table[[#Headers],[Water and sewer conservation]]</f>
        <v>Water and sewer conservation</v>
      </c>
      <c r="J46" s="787"/>
      <c r="K46" s="787"/>
      <c r="L46" s="787"/>
      <c r="M46" s="787"/>
      <c r="N46" s="787"/>
    </row>
    <row r="47" spans="2:15">
      <c r="B47" s="786" t="str">
        <f>measures_table[[#Headers],[Chiller plant improvements]]</f>
        <v>Chiller plant improvements</v>
      </c>
      <c r="C47" s="787"/>
      <c r="D47" s="787"/>
      <c r="E47" s="787"/>
      <c r="F47" s="787"/>
      <c r="G47" s="787"/>
      <c r="J47" s="351" t="str">
        <f>MeasureList!L3</f>
        <v>Install WaterSense low-flush toilets</v>
      </c>
      <c r="O47" s="351" t="s">
        <v>181</v>
      </c>
    </row>
    <row r="48" spans="2:15">
      <c r="C48" s="351" t="str">
        <f>MeasureList!E3</f>
        <v>Replace chiller</v>
      </c>
      <c r="J48" s="351" t="str">
        <f>MeasureList!L4</f>
        <v>Install WaterSense low-flow bath faucets/aerators</v>
      </c>
      <c r="O48" s="351" t="s">
        <v>185</v>
      </c>
    </row>
    <row r="49" spans="2:15">
      <c r="C49" s="351" t="str">
        <f>MeasureList!E4</f>
        <v>Install VSD on electric centrifugal chillers</v>
      </c>
      <c r="J49" s="351" t="str">
        <f>MeasureList!L5</f>
        <v>Install low-flow kitchen faucets/aerators</v>
      </c>
      <c r="O49" s="351" t="s">
        <v>184</v>
      </c>
    </row>
    <row r="50" spans="2:15">
      <c r="C50" s="213" t="str">
        <f>MeasureList!E5</f>
        <v>Add economizer cycle</v>
      </c>
      <c r="J50" s="351" t="str">
        <f>MeasureList!L6</f>
        <v>Install WaterSense low-flow showerheads</v>
      </c>
      <c r="O50" s="351" t="s">
        <v>182</v>
      </c>
    </row>
    <row r="51" spans="2:15">
      <c r="C51" s="351" t="str">
        <f>MeasureList!E6</f>
        <v>Add or replace cooling tower</v>
      </c>
      <c r="J51" s="351" t="str">
        <f>MeasureList!L7</f>
        <v>Install low-flow fixtures</v>
      </c>
    </row>
    <row r="52" spans="2:15">
      <c r="C52" s="351" t="str">
        <f>MeasureList!E7</f>
        <v>Add energy recovery</v>
      </c>
      <c r="J52" s="351" t="str">
        <f>MeasureList!L8</f>
        <v>Implement water efficient irrigation</v>
      </c>
    </row>
    <row r="53" spans="2:15">
      <c r="C53" s="351" t="str">
        <f>MeasureList!E8</f>
        <v>Upgrade controls</v>
      </c>
      <c r="J53" s="351" t="str">
        <f>MeasureList!L9</f>
        <v>Install pool cover</v>
      </c>
    </row>
    <row r="54" spans="2:15">
      <c r="C54" s="351" t="str">
        <f>MeasureList!E9</f>
        <v>Other</v>
      </c>
      <c r="J54" s="351" t="str">
        <f>MeasureList!L10</f>
        <v>Install thermostatic showerhead valves and/or tub diverters</v>
      </c>
    </row>
    <row r="55" spans="2:15">
      <c r="J55" s="351" t="str">
        <f>MeasureList!L11</f>
        <v>Upgrade controls</v>
      </c>
    </row>
    <row r="56" spans="2:15">
      <c r="B56" s="786" t="str">
        <f>measures_table[[#Headers],[Distributed generation]]</f>
        <v>Distributed generation</v>
      </c>
      <c r="C56" s="787"/>
      <c r="D56" s="787"/>
      <c r="E56" s="787"/>
      <c r="F56" s="787"/>
      <c r="G56" s="787"/>
      <c r="J56" s="351" t="str">
        <f>MeasureList!L12</f>
        <v>Other</v>
      </c>
    </row>
    <row r="57" spans="2:15">
      <c r="C57" s="351" t="str">
        <f>MeasureList!F3</f>
        <v>Install CHP/cogeneration systems</v>
      </c>
    </row>
    <row r="58" spans="2:15">
      <c r="C58" s="351" t="str">
        <f>MeasureList!F4</f>
        <v>Install fuel cells</v>
      </c>
      <c r="I58" s="786" t="str">
        <f>measures_table[[#Headers],[Water and steam distribution]]</f>
        <v>Water and steam distribution</v>
      </c>
      <c r="J58" s="787"/>
      <c r="K58" s="787"/>
      <c r="L58" s="787"/>
      <c r="M58" s="787"/>
      <c r="N58" s="787"/>
    </row>
    <row r="59" spans="2:15">
      <c r="C59" s="351" t="str">
        <f>MeasureList!F5</f>
        <v>Install microturbines</v>
      </c>
      <c r="J59" s="351" t="str">
        <f>MeasureList!M3</f>
        <v>Add pipe insulation</v>
      </c>
    </row>
    <row r="60" spans="2:15">
      <c r="C60" s="351" t="str">
        <f>MeasureList!F6</f>
        <v>Convert fuels</v>
      </c>
      <c r="J60" s="351" t="str">
        <f>MeasureList!M4</f>
        <v>Replace with higher efficiency pump</v>
      </c>
    </row>
    <row r="61" spans="2:15">
      <c r="C61" s="351" t="str">
        <f>MeasureList!F7</f>
        <v>Upgrade controls</v>
      </c>
      <c r="J61" s="351" t="str">
        <f>MeasureList!M5</f>
        <v>Replace with variable speed pump</v>
      </c>
    </row>
    <row r="62" spans="2:15">
      <c r="C62" s="351" t="str">
        <f>MeasureList!F8</f>
        <v>Other</v>
      </c>
      <c r="J62" s="351" t="str">
        <f>MeasureList!M6</f>
        <v>Add recirculating pumps</v>
      </c>
    </row>
    <row r="63" spans="2:15">
      <c r="J63" s="351" t="str">
        <f>MeasureList!M7</f>
        <v>Balance distribution system</v>
      </c>
    </row>
    <row r="64" spans="2:15">
      <c r="B64" s="786" t="str">
        <f>measures_table[[#Headers],[Domestic hot water heating]]</f>
        <v>Domestic hot water heating</v>
      </c>
      <c r="C64" s="787"/>
      <c r="D64" s="787"/>
      <c r="E64" s="787"/>
      <c r="F64" s="787"/>
      <c r="G64" s="787"/>
      <c r="J64" s="351" t="str">
        <f>MeasureList!M8</f>
        <v>Replace steam traps</v>
      </c>
    </row>
    <row r="65" spans="2:14">
      <c r="C65" s="351" t="str">
        <f>MeasureList!G3</f>
        <v>Replace or upgrade central water heater</v>
      </c>
      <c r="J65" s="351" t="str">
        <f>MeasureList!M9</f>
        <v>Install thermostatic radiator valves</v>
      </c>
    </row>
    <row r="66" spans="2:14">
      <c r="C66" s="351" t="str">
        <f>MeasureList!G4</f>
        <v>Replace or upgrade individual water heater</v>
      </c>
      <c r="J66" s="351" t="str">
        <f>MeasureList!M10</f>
        <v>Install or replace condensate return system</v>
      </c>
    </row>
    <row r="67" spans="2:14">
      <c r="C67" s="351" t="str">
        <f>MeasureList!G5</f>
        <v>Install solar hot water system</v>
      </c>
      <c r="J67" s="351" t="str">
        <f>MeasureList!M11</f>
        <v>Add energy recovery</v>
      </c>
    </row>
    <row r="68" spans="2:14">
      <c r="C68" s="351" t="str">
        <f>MeasureList!G6</f>
        <v>Separate DHW from heating</v>
      </c>
      <c r="J68" s="351" t="str">
        <f>MeasureList!M12</f>
        <v>Upgrade controls</v>
      </c>
    </row>
    <row r="69" spans="2:14">
      <c r="C69" s="351" t="str">
        <f>MeasureList!G7</f>
        <v>Upgrade controls</v>
      </c>
      <c r="J69" s="351" t="str">
        <f>MeasureList!M13</f>
        <v>Other</v>
      </c>
    </row>
    <row r="70" spans="2:14">
      <c r="C70" s="351" t="str">
        <f>MeasureList!G8</f>
        <v>Other</v>
      </c>
    </row>
    <row r="71" spans="2:14">
      <c r="I71" s="786" t="str">
        <f>measures_table[[#Headers],[Uncategorized]]</f>
        <v>Uncategorized</v>
      </c>
      <c r="J71" s="787"/>
      <c r="K71" s="787"/>
      <c r="L71" s="787"/>
      <c r="M71" s="787"/>
      <c r="N71" s="787"/>
    </row>
    <row r="72" spans="2:14">
      <c r="B72" s="786" t="str">
        <f>measures_table[[#Headers],[Electric motors and drives]]</f>
        <v>Electric motors and drives</v>
      </c>
      <c r="C72" s="787"/>
      <c r="D72" s="787"/>
      <c r="E72" s="787"/>
      <c r="F72" s="787"/>
      <c r="G72" s="787"/>
      <c r="J72" s="351" t="str">
        <f>MeasureList!N3</f>
        <v>Other</v>
      </c>
    </row>
    <row r="73" spans="2:14">
      <c r="C73" s="351" t="str">
        <f>MeasureList!H3</f>
        <v>Add drive controls</v>
      </c>
    </row>
    <row r="74" spans="2:14">
      <c r="C74" s="351" t="str">
        <f>MeasureList!H4</f>
        <v>Replace with higher efficiency</v>
      </c>
    </row>
    <row r="75" spans="2:14">
      <c r="C75" s="351" t="str">
        <f>MeasureList!H5</f>
        <v>Add VSD motor controller</v>
      </c>
    </row>
    <row r="76" spans="2:14">
      <c r="C76" s="351" t="str">
        <f>MeasureList!H6</f>
        <v>Upgrade elevator technology</v>
      </c>
    </row>
    <row r="77" spans="2:14">
      <c r="C77" s="351" t="str">
        <f>MeasureList!H7</f>
        <v>Other</v>
      </c>
    </row>
  </sheetData>
  <sheetProtection algorithmName="SHA-512" hashValue="hUjSWFwH3DxFUidqtG9LghpxCNsndwa/JazEVSf0mWyWrCQiHFdDuBD82qJGe9obu/TeUbnx4LvsOuL/33AQsg==" saltValue="W2J83/ROcA6A2+0QLadNnQ==" spinCount="100000" sheet="1" objects="1" scenarios="1"/>
  <mergeCells count="1">
    <mergeCell ref="B3:O3"/>
  </mergeCells>
  <pageMargins left="0.7" right="0.7" top="0.75" bottom="0.75" header="0.3" footer="0.3"/>
  <pageSetup paperSize="5" scale="84" orientation="landscape" r:id="rId1"/>
  <headerFooter>
    <oddFooter>&amp;L&amp;"Source Sans Pro,Regular"&amp;8© 2019 Fannie Mae. Trademarks of Fannie Mae.&amp;C&amp;"Source Sans Pro,Regular"&amp;8Form 4099.H - September 2019&amp;R&amp;"Source Sans Pro,Regular"&amp;8Page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showGridLines="0" topLeftCell="A99" zoomScaleNormal="100" workbookViewId="0">
      <selection activeCell="E149" sqref="E149"/>
    </sheetView>
  </sheetViews>
  <sheetFormatPr defaultColWidth="9.28515625" defaultRowHeight="12"/>
  <cols>
    <col min="1" max="1" width="2.28515625" style="29" customWidth="1"/>
    <col min="2" max="2" width="6.42578125" style="29" customWidth="1"/>
    <col min="3" max="3" width="43.7109375" style="29" customWidth="1"/>
    <col min="4" max="4" width="9.28515625" style="87"/>
    <col min="5" max="5" width="32.7109375" style="29" customWidth="1"/>
    <col min="6" max="6" width="30.5703125" style="29" customWidth="1"/>
    <col min="7" max="7" width="31.5703125" style="29" customWidth="1"/>
    <col min="8" max="9" width="9.28515625" style="29"/>
    <col min="10" max="10" width="9.28515625" style="87"/>
    <col min="11" max="16384" width="9.28515625" style="29"/>
  </cols>
  <sheetData>
    <row r="1" spans="1:12" s="27" customFormat="1" ht="15" customHeight="1">
      <c r="C1" s="31"/>
      <c r="D1" s="88"/>
      <c r="E1" s="31"/>
      <c r="F1" s="31"/>
      <c r="G1" s="31"/>
      <c r="H1" s="31"/>
      <c r="J1" s="84"/>
    </row>
    <row r="2" spans="1:12" s="32" customFormat="1" ht="25.5">
      <c r="B2" s="52" t="s">
        <v>570</v>
      </c>
      <c r="D2" s="89"/>
      <c r="J2" s="85"/>
    </row>
    <row r="3" spans="1:12" s="27" customFormat="1" ht="17.25" customHeight="1">
      <c r="A3" s="32"/>
      <c r="B3" s="1050"/>
      <c r="C3" s="1050"/>
      <c r="D3" s="1050"/>
      <c r="E3" s="1050"/>
      <c r="F3" s="1050"/>
      <c r="G3" s="1050"/>
      <c r="H3" s="1050"/>
      <c r="I3" s="1050"/>
      <c r="J3" s="1050"/>
      <c r="K3" s="1050"/>
      <c r="L3" s="82"/>
    </row>
    <row r="4" spans="1:12" s="33" customFormat="1">
      <c r="C4" s="50"/>
      <c r="D4" s="86"/>
      <c r="J4" s="86"/>
    </row>
    <row r="6" spans="1:12">
      <c r="B6" s="53" t="str">
        <f>measures_table[[#Headers],[Advanced controls and metering]]</f>
        <v>Advanced controls and metering</v>
      </c>
      <c r="C6" s="54"/>
      <c r="D6" s="83" t="s">
        <v>508</v>
      </c>
      <c r="E6" s="54" t="s">
        <v>716</v>
      </c>
      <c r="F6" s="54" t="s">
        <v>510</v>
      </c>
      <c r="G6" s="54" t="s">
        <v>537</v>
      </c>
    </row>
    <row r="7" spans="1:12">
      <c r="B7" s="29">
        <v>1.1000000000000001</v>
      </c>
      <c r="C7" s="29" t="str">
        <f>MeasureList!A3</f>
        <v>Add or upgrade BAS/EMS/EMCS</v>
      </c>
      <c r="D7" s="87">
        <v>10</v>
      </c>
      <c r="E7" s="29" t="s">
        <v>543</v>
      </c>
      <c r="F7" s="29" t="s">
        <v>542</v>
      </c>
    </row>
    <row r="8" spans="1:12">
      <c r="B8" s="29">
        <v>1.2</v>
      </c>
      <c r="C8" s="29" t="str">
        <f>MeasureList!A4</f>
        <v>Add or upgrade controls</v>
      </c>
      <c r="D8" s="87">
        <v>10</v>
      </c>
      <c r="E8" s="29" t="s">
        <v>543</v>
      </c>
      <c r="F8" s="29" t="s">
        <v>542</v>
      </c>
    </row>
    <row r="9" spans="1:12">
      <c r="B9" s="29">
        <v>1.3</v>
      </c>
      <c r="C9" s="29" t="str">
        <f>MeasureList!A5</f>
        <v>Convert pneumatic controls to DDC</v>
      </c>
      <c r="D9" s="137">
        <v>10</v>
      </c>
      <c r="E9" s="29" t="s">
        <v>511</v>
      </c>
    </row>
    <row r="10" spans="1:12">
      <c r="B10" s="29">
        <v>1.4</v>
      </c>
      <c r="C10" s="29" t="str">
        <f>MeasureList!A6</f>
        <v>Install advanced metering systems</v>
      </c>
      <c r="D10" s="137">
        <v>10</v>
      </c>
      <c r="E10" s="29" t="s">
        <v>511</v>
      </c>
    </row>
    <row r="11" spans="1:12">
      <c r="B11" s="29">
        <v>1.5</v>
      </c>
      <c r="C11" s="29" t="str">
        <f>MeasureList!A7</f>
        <v>Other</v>
      </c>
      <c r="E11" s="29" t="s">
        <v>511</v>
      </c>
    </row>
    <row r="13" spans="1:12">
      <c r="B13" s="53" t="str">
        <f>measures_table[[#Headers],[Appliances and plug load reductions]]</f>
        <v>Appliances and plug load reductions</v>
      </c>
      <c r="C13" s="54"/>
      <c r="D13" s="83" t="s">
        <v>508</v>
      </c>
      <c r="E13" s="54" t="s">
        <v>716</v>
      </c>
      <c r="F13" s="54" t="s">
        <v>510</v>
      </c>
      <c r="G13" s="54" t="s">
        <v>537</v>
      </c>
    </row>
    <row r="14" spans="1:12">
      <c r="B14" s="29">
        <v>2.1</v>
      </c>
      <c r="C14" s="29" t="str">
        <f>MeasureList!B3</f>
        <v>Replace dishwashers with ENERGY STAR rated</v>
      </c>
      <c r="D14" s="136">
        <v>7.5</v>
      </c>
      <c r="E14" s="29" t="s">
        <v>512</v>
      </c>
      <c r="F14" s="29" t="s">
        <v>515</v>
      </c>
      <c r="G14" s="29" t="s">
        <v>539</v>
      </c>
    </row>
    <row r="15" spans="1:12">
      <c r="B15" s="29">
        <v>2.2000000000000002</v>
      </c>
      <c r="C15" s="29" t="str">
        <f>MeasureList!B4</f>
        <v>Replace clothes dryers with ENERGY STAR rated</v>
      </c>
      <c r="D15" s="137">
        <v>7.5</v>
      </c>
      <c r="E15" s="29" t="s">
        <v>511</v>
      </c>
    </row>
    <row r="16" spans="1:12">
      <c r="B16" s="29">
        <v>2.2999999999999998</v>
      </c>
      <c r="C16" s="29" t="str">
        <f>MeasureList!B5</f>
        <v>Replace washing machines ENERGY STAR rated</v>
      </c>
      <c r="D16" s="137">
        <v>7.5</v>
      </c>
      <c r="E16" s="29" t="s">
        <v>511</v>
      </c>
    </row>
    <row r="17" spans="2:7">
      <c r="B17" s="29">
        <v>2.4</v>
      </c>
      <c r="C17" s="29" t="str">
        <f>MeasureList!B6</f>
        <v>Replace refrigerators with ENERGY STAR rated</v>
      </c>
      <c r="D17" s="87">
        <v>10</v>
      </c>
      <c r="E17" s="29" t="s">
        <v>512</v>
      </c>
      <c r="F17" s="29" t="s">
        <v>538</v>
      </c>
    </row>
    <row r="18" spans="2:7">
      <c r="B18" s="29">
        <v>2.5</v>
      </c>
      <c r="C18" s="29" t="str">
        <f>MeasureList!B7</f>
        <v>Install plug load controls</v>
      </c>
      <c r="D18" s="137">
        <v>5</v>
      </c>
      <c r="E18" s="29" t="s">
        <v>511</v>
      </c>
    </row>
    <row r="19" spans="2:7">
      <c r="B19" s="29">
        <v>2.6</v>
      </c>
      <c r="C19" s="29" t="str">
        <f>MeasureList!B8</f>
        <v>Other</v>
      </c>
      <c r="D19" s="91"/>
      <c r="E19" s="29" t="s">
        <v>511</v>
      </c>
    </row>
    <row r="21" spans="2:7">
      <c r="B21" s="53" t="str">
        <f>measures_table[[#Headers],[Boiler plant improvements]]</f>
        <v>Boiler plant improvements</v>
      </c>
      <c r="C21" s="54"/>
      <c r="D21" s="83" t="s">
        <v>508</v>
      </c>
      <c r="E21" s="54" t="s">
        <v>716</v>
      </c>
      <c r="F21" s="54" t="s">
        <v>510</v>
      </c>
      <c r="G21" s="54" t="s">
        <v>537</v>
      </c>
    </row>
    <row r="22" spans="2:7">
      <c r="B22" s="29">
        <v>3.1</v>
      </c>
      <c r="C22" s="29" t="str">
        <f>MeasureList!C3</f>
        <v>Replace central heating boiler</v>
      </c>
      <c r="D22" s="87">
        <v>25</v>
      </c>
      <c r="E22" s="29" t="s">
        <v>544</v>
      </c>
      <c r="F22" s="29" t="s">
        <v>545</v>
      </c>
      <c r="G22" s="29" t="s">
        <v>546</v>
      </c>
    </row>
    <row r="23" spans="2:7">
      <c r="B23" s="29">
        <v>3.2</v>
      </c>
      <c r="C23" s="29" t="str">
        <f>MeasureList!C4</f>
        <v>Replace individual heating boiler</v>
      </c>
      <c r="D23" s="87">
        <v>25</v>
      </c>
      <c r="E23" s="29" t="s">
        <v>547</v>
      </c>
      <c r="F23" s="29" t="s">
        <v>548</v>
      </c>
    </row>
    <row r="24" spans="2:7">
      <c r="B24" s="29">
        <v>3.3</v>
      </c>
      <c r="C24" s="29" t="str">
        <f>MeasureList!C5</f>
        <v>Replace burner</v>
      </c>
      <c r="D24" s="137">
        <v>25</v>
      </c>
      <c r="E24" s="29" t="s">
        <v>511</v>
      </c>
    </row>
    <row r="25" spans="2:7">
      <c r="B25" s="29">
        <v>3.4</v>
      </c>
      <c r="C25" s="29" t="str">
        <f>MeasureList!C6</f>
        <v>Insulate boiler room</v>
      </c>
      <c r="D25" s="137">
        <v>15</v>
      </c>
      <c r="E25" s="29" t="s">
        <v>511</v>
      </c>
    </row>
    <row r="26" spans="2:7">
      <c r="B26" s="29">
        <v>3.5</v>
      </c>
      <c r="C26" s="29" t="str">
        <f>MeasureList!C7</f>
        <v>Insulate boiler</v>
      </c>
      <c r="D26" s="137">
        <v>10</v>
      </c>
      <c r="E26" s="29" t="s">
        <v>511</v>
      </c>
    </row>
    <row r="27" spans="2:7">
      <c r="B27" s="29">
        <v>3.6</v>
      </c>
      <c r="C27" s="29" t="str">
        <f>MeasureList!C8</f>
        <v>Add energy recovery</v>
      </c>
      <c r="D27" s="137">
        <v>15</v>
      </c>
      <c r="E27" s="29" t="s">
        <v>511</v>
      </c>
    </row>
    <row r="28" spans="2:7">
      <c r="B28" s="29">
        <v>3.7</v>
      </c>
      <c r="C28" s="29" t="str">
        <f>MeasureList!C9</f>
        <v>Convert system from steam to hot water</v>
      </c>
      <c r="D28" s="137">
        <v>25</v>
      </c>
      <c r="E28" s="29" t="s">
        <v>511</v>
      </c>
    </row>
    <row r="29" spans="2:7">
      <c r="B29" s="29">
        <v>3.8</v>
      </c>
      <c r="C29" s="29" t="str">
        <f>MeasureList!C10</f>
        <v>Upgrade controls</v>
      </c>
      <c r="D29" s="87">
        <v>25</v>
      </c>
      <c r="E29" s="29" t="s">
        <v>549</v>
      </c>
      <c r="F29" s="29" t="s">
        <v>550</v>
      </c>
    </row>
    <row r="30" spans="2:7">
      <c r="B30" s="29">
        <v>3.9</v>
      </c>
      <c r="C30" s="29" t="str">
        <f>MeasureList!C11</f>
        <v>Other</v>
      </c>
      <c r="E30" s="29" t="s">
        <v>511</v>
      </c>
    </row>
    <row r="32" spans="2:7">
      <c r="B32" s="53" t="str">
        <f>measures_table[[#Headers],[Building envelope]]</f>
        <v>Building envelope</v>
      </c>
      <c r="C32" s="54"/>
      <c r="D32" s="83" t="s">
        <v>508</v>
      </c>
      <c r="E32" s="54" t="s">
        <v>716</v>
      </c>
      <c r="F32" s="54" t="s">
        <v>510</v>
      </c>
      <c r="G32" s="54" t="s">
        <v>537</v>
      </c>
    </row>
    <row r="33" spans="2:7">
      <c r="B33" s="29">
        <v>4.0999999999999996</v>
      </c>
      <c r="C33" s="29" t="str">
        <f>MeasureList!D3</f>
        <v>Air seal envelope/weather-strip</v>
      </c>
      <c r="D33" s="137">
        <v>15</v>
      </c>
      <c r="E33" s="29" t="s">
        <v>511</v>
      </c>
    </row>
    <row r="34" spans="2:7">
      <c r="B34" s="29">
        <v>4.2</v>
      </c>
      <c r="C34" s="29" t="str">
        <f>MeasureList!D4</f>
        <v>Increase wall insulation</v>
      </c>
      <c r="D34" s="93">
        <v>50</v>
      </c>
      <c r="E34" s="29" t="s">
        <v>521</v>
      </c>
      <c r="F34" s="29" t="s">
        <v>522</v>
      </c>
      <c r="G34" s="29" t="s">
        <v>523</v>
      </c>
    </row>
    <row r="35" spans="2:7">
      <c r="B35" s="29">
        <v>4.3</v>
      </c>
      <c r="C35" s="29" t="str">
        <f>MeasureList!D5</f>
        <v>Increase roof insulation</v>
      </c>
      <c r="D35" s="87">
        <v>20</v>
      </c>
      <c r="E35" s="29" t="s">
        <v>531</v>
      </c>
      <c r="F35" s="29" t="s">
        <v>530</v>
      </c>
    </row>
    <row r="36" spans="2:7">
      <c r="B36" s="29">
        <v>4.4000000000000004</v>
      </c>
      <c r="C36" s="29" t="str">
        <f>MeasureList!D6</f>
        <v>Add attic insulation</v>
      </c>
      <c r="D36" s="137">
        <v>15</v>
      </c>
      <c r="E36" s="29" t="s">
        <v>511</v>
      </c>
    </row>
    <row r="37" spans="2:7">
      <c r="B37" s="29">
        <v>4.5</v>
      </c>
      <c r="C37" s="29" t="str">
        <f>MeasureList!D7</f>
        <v>Insulate foundation</v>
      </c>
      <c r="D37" s="93">
        <v>50</v>
      </c>
      <c r="E37" s="29" t="s">
        <v>565</v>
      </c>
      <c r="F37" s="29" t="s">
        <v>565</v>
      </c>
    </row>
    <row r="38" spans="2:7">
      <c r="B38" s="29">
        <v>4.5999999999999996</v>
      </c>
      <c r="C38" s="29" t="str">
        <f>MeasureList!D8</f>
        <v>Replace roof</v>
      </c>
      <c r="D38" s="87">
        <v>20</v>
      </c>
      <c r="E38" s="29" t="s">
        <v>531</v>
      </c>
      <c r="F38" s="29" t="s">
        <v>530</v>
      </c>
    </row>
    <row r="39" spans="2:7">
      <c r="B39" s="29">
        <v>4.7</v>
      </c>
      <c r="C39" s="29" t="str">
        <f>MeasureList!D9</f>
        <v>Replace windows</v>
      </c>
      <c r="D39" s="87">
        <v>30</v>
      </c>
      <c r="E39" s="29" t="s">
        <v>524</v>
      </c>
      <c r="F39" s="29" t="s">
        <v>526</v>
      </c>
      <c r="G39" s="29" t="s">
        <v>527</v>
      </c>
    </row>
    <row r="40" spans="2:7">
      <c r="B40" s="29">
        <v>4.8</v>
      </c>
      <c r="C40" s="29" t="str">
        <f>MeasureList!D10</f>
        <v>Replace doors</v>
      </c>
      <c r="D40" s="87">
        <v>25</v>
      </c>
      <c r="E40" s="29" t="s">
        <v>524</v>
      </c>
      <c r="F40" s="29" t="s">
        <v>528</v>
      </c>
      <c r="G40" s="29" t="s">
        <v>529</v>
      </c>
    </row>
    <row r="41" spans="2:7">
      <c r="B41" s="29">
        <v>4.9000000000000004</v>
      </c>
      <c r="C41" s="29" t="str">
        <f>MeasureList!D11</f>
        <v>Add storm windows</v>
      </c>
      <c r="D41" s="87">
        <v>10</v>
      </c>
      <c r="E41" s="29" t="s">
        <v>524</v>
      </c>
      <c r="F41" s="29" t="s">
        <v>525</v>
      </c>
    </row>
    <row r="42" spans="2:7">
      <c r="B42" s="90">
        <v>4.0999999999999996</v>
      </c>
      <c r="C42" s="29" t="str">
        <f>MeasureList!D12</f>
        <v>Add window films</v>
      </c>
      <c r="D42" s="137">
        <v>10</v>
      </c>
      <c r="E42" s="29" t="s">
        <v>511</v>
      </c>
    </row>
    <row r="43" spans="2:7">
      <c r="B43" s="29">
        <v>4.12</v>
      </c>
      <c r="C43" s="29" t="str">
        <f>MeasureList!D13</f>
        <v>Install or replace solar screens</v>
      </c>
      <c r="D43" s="137">
        <v>10</v>
      </c>
      <c r="E43" s="29" t="s">
        <v>511</v>
      </c>
    </row>
    <row r="44" spans="2:7">
      <c r="B44" s="29">
        <v>4.13</v>
      </c>
      <c r="C44" s="29" t="str">
        <f>MeasureList!D14</f>
        <v>Install cool/green roof</v>
      </c>
      <c r="D44" s="137">
        <v>20</v>
      </c>
      <c r="E44" s="29" t="s">
        <v>511</v>
      </c>
    </row>
    <row r="45" spans="2:7">
      <c r="B45" s="29">
        <v>4.1399999999999997</v>
      </c>
      <c r="C45" s="29" t="str">
        <f>MeasureList!D15</f>
        <v>Other</v>
      </c>
      <c r="E45" s="29" t="s">
        <v>511</v>
      </c>
    </row>
    <row r="47" spans="2:7">
      <c r="B47" s="53" t="str">
        <f>measures_table[[#Headers],[Chiller plant improvements]]</f>
        <v>Chiller plant improvements</v>
      </c>
      <c r="C47" s="54"/>
      <c r="D47" s="83" t="s">
        <v>508</v>
      </c>
      <c r="E47" s="54" t="s">
        <v>716</v>
      </c>
      <c r="F47" s="54" t="s">
        <v>510</v>
      </c>
      <c r="G47" s="54" t="s">
        <v>537</v>
      </c>
    </row>
    <row r="48" spans="2:7">
      <c r="B48" s="29">
        <v>5.0999999999999996</v>
      </c>
      <c r="C48" s="29" t="str">
        <f>MeasureList!E3</f>
        <v>Replace chiller</v>
      </c>
      <c r="D48" s="92">
        <v>15</v>
      </c>
      <c r="E48" s="30" t="s">
        <v>535</v>
      </c>
      <c r="F48" s="29" t="s">
        <v>536</v>
      </c>
    </row>
    <row r="49" spans="2:7">
      <c r="B49" s="29">
        <v>5.2</v>
      </c>
      <c r="C49" s="29" t="str">
        <f>MeasureList!E4</f>
        <v>Install VSD on electric centrifugal chillers</v>
      </c>
      <c r="D49" s="138">
        <v>15</v>
      </c>
      <c r="E49" s="30" t="s">
        <v>511</v>
      </c>
    </row>
    <row r="50" spans="2:7">
      <c r="B50" s="29">
        <v>5.3</v>
      </c>
      <c r="C50" s="29" t="str">
        <f>MeasureList!E5</f>
        <v>Add economizer cycle</v>
      </c>
      <c r="D50" s="138">
        <v>10</v>
      </c>
      <c r="E50" s="30" t="s">
        <v>511</v>
      </c>
    </row>
    <row r="51" spans="2:7">
      <c r="B51" s="29">
        <v>5.4</v>
      </c>
      <c r="C51" s="29" t="str">
        <f>MeasureList!E6</f>
        <v>Add or replace cooling tower</v>
      </c>
      <c r="D51" s="92">
        <v>25</v>
      </c>
      <c r="E51" s="30" t="s">
        <v>534</v>
      </c>
      <c r="F51" s="29" t="s">
        <v>533</v>
      </c>
    </row>
    <row r="52" spans="2:7">
      <c r="B52" s="29">
        <v>5.5</v>
      </c>
      <c r="C52" s="29" t="str">
        <f>MeasureList!E7</f>
        <v>Add energy recovery</v>
      </c>
      <c r="D52" s="138">
        <v>15</v>
      </c>
      <c r="E52" s="30" t="s">
        <v>511</v>
      </c>
    </row>
    <row r="53" spans="2:7">
      <c r="B53" s="29">
        <v>5.6</v>
      </c>
      <c r="C53" s="29" t="str">
        <f>MeasureList!E8</f>
        <v>Upgrade controls</v>
      </c>
      <c r="D53" s="138">
        <v>15</v>
      </c>
      <c r="E53" s="30" t="s">
        <v>511</v>
      </c>
    </row>
    <row r="54" spans="2:7">
      <c r="B54" s="29">
        <v>5.7</v>
      </c>
      <c r="C54" s="29" t="str">
        <f>MeasureList!E9</f>
        <v>Other</v>
      </c>
      <c r="D54" s="92"/>
      <c r="E54" s="30" t="s">
        <v>511</v>
      </c>
    </row>
    <row r="56" spans="2:7">
      <c r="B56" s="53" t="str">
        <f>measures_table[[#Headers],[Distributed generation]]</f>
        <v>Distributed generation</v>
      </c>
      <c r="C56" s="54"/>
      <c r="D56" s="83" t="s">
        <v>508</v>
      </c>
      <c r="E56" s="54" t="s">
        <v>716</v>
      </c>
      <c r="F56" s="54" t="s">
        <v>510</v>
      </c>
      <c r="G56" s="54" t="s">
        <v>537</v>
      </c>
    </row>
    <row r="57" spans="2:7">
      <c r="B57" s="29">
        <v>6.1</v>
      </c>
      <c r="C57" s="29" t="str">
        <f>MeasureList!F3</f>
        <v>Install CHP/cogeneration systems</v>
      </c>
      <c r="D57" s="87">
        <v>25</v>
      </c>
      <c r="E57" s="29" t="s">
        <v>540</v>
      </c>
      <c r="F57" s="29" t="s">
        <v>541</v>
      </c>
    </row>
    <row r="58" spans="2:7">
      <c r="B58" s="29">
        <v>6.2</v>
      </c>
      <c r="C58" s="29" t="str">
        <f>MeasureList!F4</f>
        <v>Install fuel cells</v>
      </c>
      <c r="D58" s="137">
        <v>25</v>
      </c>
      <c r="E58" s="29" t="s">
        <v>511</v>
      </c>
    </row>
    <row r="59" spans="2:7">
      <c r="B59" s="29">
        <v>6.3</v>
      </c>
      <c r="C59" s="29" t="str">
        <f>MeasureList!F5</f>
        <v>Install microturbines</v>
      </c>
      <c r="D59" s="87">
        <v>25</v>
      </c>
      <c r="E59" s="29" t="s">
        <v>540</v>
      </c>
      <c r="F59" s="29" t="s">
        <v>541</v>
      </c>
    </row>
    <row r="60" spans="2:7">
      <c r="B60" s="29">
        <v>6.4</v>
      </c>
      <c r="C60" s="29" t="str">
        <f>MeasureList!F6</f>
        <v>Convert fuels</v>
      </c>
      <c r="D60" s="137">
        <v>50</v>
      </c>
      <c r="E60" s="29" t="s">
        <v>511</v>
      </c>
    </row>
    <row r="61" spans="2:7">
      <c r="B61" s="29">
        <v>6.5</v>
      </c>
      <c r="C61" s="29" t="str">
        <f>MeasureList!F7</f>
        <v>Upgrade controls</v>
      </c>
      <c r="D61" s="137">
        <v>25</v>
      </c>
      <c r="E61" s="29" t="s">
        <v>511</v>
      </c>
    </row>
    <row r="62" spans="2:7">
      <c r="B62" s="29">
        <v>6.6</v>
      </c>
      <c r="C62" s="29" t="str">
        <f>MeasureList!F8</f>
        <v>Other</v>
      </c>
      <c r="E62" s="29" t="s">
        <v>511</v>
      </c>
    </row>
    <row r="64" spans="2:7">
      <c r="B64" s="53" t="str">
        <f>measures_table[[#Headers],[Domestic hot water heating]]</f>
        <v>Domestic hot water heating</v>
      </c>
      <c r="C64" s="54"/>
      <c r="D64" s="83" t="s">
        <v>508</v>
      </c>
      <c r="E64" s="54" t="s">
        <v>716</v>
      </c>
      <c r="F64" s="54" t="s">
        <v>510</v>
      </c>
      <c r="G64" s="54" t="s">
        <v>537</v>
      </c>
    </row>
    <row r="65" spans="2:7">
      <c r="B65" s="29">
        <v>7.1</v>
      </c>
      <c r="C65" s="29" t="str">
        <f>MeasureList!G3</f>
        <v>Replace or upgrade central water heater</v>
      </c>
      <c r="D65" s="87">
        <v>15</v>
      </c>
      <c r="E65" s="29" t="s">
        <v>532</v>
      </c>
      <c r="F65" s="29" t="s">
        <v>552</v>
      </c>
    </row>
    <row r="66" spans="2:7">
      <c r="B66" s="29">
        <v>7.2</v>
      </c>
      <c r="C66" s="29" t="str">
        <f>MeasureList!G4</f>
        <v>Replace or upgrade individual water heater</v>
      </c>
      <c r="D66" s="87">
        <v>10</v>
      </c>
      <c r="E66" s="29" t="s">
        <v>547</v>
      </c>
      <c r="F66" s="29" t="s">
        <v>554</v>
      </c>
    </row>
    <row r="67" spans="2:7">
      <c r="B67" s="29">
        <v>7.3</v>
      </c>
      <c r="C67" s="29" t="str">
        <f>MeasureList!G5</f>
        <v>Install solar hot water system</v>
      </c>
      <c r="D67" s="87">
        <v>20</v>
      </c>
      <c r="E67" s="29" t="s">
        <v>532</v>
      </c>
      <c r="F67" s="29" t="s">
        <v>551</v>
      </c>
    </row>
    <row r="68" spans="2:7">
      <c r="B68" s="29">
        <v>7.4</v>
      </c>
      <c r="C68" s="29" t="str">
        <f>MeasureList!G6</f>
        <v>Separate DHW from heating</v>
      </c>
      <c r="D68" s="137">
        <v>20</v>
      </c>
      <c r="E68" s="29" t="s">
        <v>511</v>
      </c>
    </row>
    <row r="69" spans="2:7">
      <c r="B69" s="29">
        <v>7.5</v>
      </c>
      <c r="C69" s="29" t="str">
        <f>MeasureList!G7</f>
        <v>Upgrade controls</v>
      </c>
      <c r="D69" s="87">
        <v>15</v>
      </c>
      <c r="E69" s="29" t="s">
        <v>532</v>
      </c>
      <c r="F69" s="29" t="s">
        <v>553</v>
      </c>
    </row>
    <row r="70" spans="2:7">
      <c r="B70" s="29">
        <v>7.6</v>
      </c>
      <c r="C70" s="29" t="str">
        <f>MeasureList!G8</f>
        <v>Other</v>
      </c>
      <c r="E70" s="29" t="s">
        <v>511</v>
      </c>
    </row>
    <row r="72" spans="2:7">
      <c r="B72" s="53" t="str">
        <f>measures_table[[#Headers],[Electric motors and drives]]</f>
        <v>Electric motors and drives</v>
      </c>
      <c r="C72" s="54"/>
      <c r="D72" s="83" t="s">
        <v>508</v>
      </c>
      <c r="E72" s="54" t="s">
        <v>716</v>
      </c>
      <c r="F72" s="54" t="s">
        <v>510</v>
      </c>
      <c r="G72" s="54" t="s">
        <v>537</v>
      </c>
    </row>
    <row r="73" spans="2:7">
      <c r="B73" s="29">
        <v>8.1</v>
      </c>
      <c r="C73" s="29" t="str">
        <f>MeasureList!H3</f>
        <v>Add drive controls</v>
      </c>
      <c r="D73" s="138">
        <v>15</v>
      </c>
      <c r="E73" s="30" t="s">
        <v>511</v>
      </c>
    </row>
    <row r="74" spans="2:7">
      <c r="B74" s="29">
        <v>8.1999999999999993</v>
      </c>
      <c r="C74" s="29" t="str">
        <f>MeasureList!H4</f>
        <v>Replace with higher efficiency</v>
      </c>
      <c r="D74" s="138">
        <v>15</v>
      </c>
      <c r="E74" s="30" t="s">
        <v>511</v>
      </c>
    </row>
    <row r="75" spans="2:7">
      <c r="B75" s="29">
        <v>8.3000000000000007</v>
      </c>
      <c r="C75" s="29" t="str">
        <f>MeasureList!H5</f>
        <v>Add VSD motor controller</v>
      </c>
      <c r="D75" s="138">
        <v>15</v>
      </c>
      <c r="E75" s="30" t="s">
        <v>511</v>
      </c>
    </row>
    <row r="76" spans="2:7">
      <c r="B76" s="29">
        <v>8.4</v>
      </c>
      <c r="C76" s="29" t="str">
        <f>MeasureList!H6</f>
        <v>Upgrade elevator technology</v>
      </c>
      <c r="D76" s="87">
        <v>15</v>
      </c>
      <c r="E76" s="29" t="s">
        <v>558</v>
      </c>
      <c r="F76" s="29" t="s">
        <v>559</v>
      </c>
    </row>
    <row r="77" spans="2:7">
      <c r="B77" s="29">
        <v>8.5</v>
      </c>
      <c r="C77" s="29" t="str">
        <f>MeasureList!H7</f>
        <v>Other</v>
      </c>
      <c r="E77" s="29" t="s">
        <v>511</v>
      </c>
    </row>
    <row r="79" spans="2:7">
      <c r="B79" s="53" t="str">
        <f>measures_table[[#Headers],[Heating ventilating and air conditioning]]</f>
        <v>Heating ventilating and air conditioning</v>
      </c>
      <c r="C79" s="54"/>
      <c r="D79" s="83" t="s">
        <v>508</v>
      </c>
      <c r="E79" s="54" t="s">
        <v>716</v>
      </c>
      <c r="F79" s="54" t="s">
        <v>510</v>
      </c>
      <c r="G79" s="54" t="s">
        <v>537</v>
      </c>
    </row>
    <row r="80" spans="2:7">
      <c r="B80" s="29">
        <v>9.1</v>
      </c>
      <c r="C80" s="29" t="str">
        <f>MeasureList!I3</f>
        <v>Install smart thermostats</v>
      </c>
      <c r="D80" s="137">
        <v>10</v>
      </c>
      <c r="E80" s="29" t="s">
        <v>511</v>
      </c>
    </row>
    <row r="81" spans="2:7">
      <c r="B81" s="29">
        <v>9.1999999999999993</v>
      </c>
      <c r="C81" s="29" t="str">
        <f>MeasureList!I4</f>
        <v>Install or replace heat pumps</v>
      </c>
      <c r="D81" s="87">
        <v>15</v>
      </c>
      <c r="E81" s="29" t="s">
        <v>547</v>
      </c>
      <c r="F81" s="29" t="s">
        <v>564</v>
      </c>
    </row>
    <row r="82" spans="2:7">
      <c r="B82" s="29">
        <v>9.3000000000000007</v>
      </c>
      <c r="C82" s="30" t="str">
        <f>MeasureList!I5</f>
        <v>Replace split system AC</v>
      </c>
      <c r="D82" s="87">
        <v>15</v>
      </c>
      <c r="E82" s="29" t="s">
        <v>547</v>
      </c>
      <c r="F82" s="29" t="s">
        <v>564</v>
      </c>
    </row>
    <row r="83" spans="2:7">
      <c r="B83" s="29">
        <v>9.4</v>
      </c>
      <c r="C83" s="30" t="str">
        <f>MeasureList!I6</f>
        <v>Replace split system AC with furnace</v>
      </c>
      <c r="D83" s="87">
        <v>20</v>
      </c>
      <c r="E83" s="29" t="s">
        <v>560</v>
      </c>
      <c r="F83" s="29" t="s">
        <v>561</v>
      </c>
    </row>
    <row r="84" spans="2:7">
      <c r="B84" s="29">
        <v>9.5</v>
      </c>
      <c r="C84" s="30" t="str">
        <f>MeasureList!I7</f>
        <v>Replace furnace</v>
      </c>
      <c r="D84" s="87">
        <v>20</v>
      </c>
      <c r="E84" s="29" t="s">
        <v>560</v>
      </c>
      <c r="F84" s="29" t="s">
        <v>556</v>
      </c>
    </row>
    <row r="85" spans="2:7">
      <c r="B85" s="29">
        <v>9.6</v>
      </c>
      <c r="C85" s="30" t="str">
        <f>MeasureList!I8</f>
        <v>Replace package units</v>
      </c>
      <c r="D85" s="87">
        <v>20</v>
      </c>
      <c r="E85" s="29" t="s">
        <v>543</v>
      </c>
      <c r="F85" s="29" t="s">
        <v>562</v>
      </c>
      <c r="G85" s="29" t="s">
        <v>563</v>
      </c>
    </row>
    <row r="86" spans="2:7">
      <c r="B86" s="29">
        <v>9.6999999999999993</v>
      </c>
      <c r="C86" s="30" t="str">
        <f>MeasureList!I9</f>
        <v>Replace or modify AHU</v>
      </c>
      <c r="D86" s="87">
        <v>20</v>
      </c>
      <c r="E86" s="29" t="s">
        <v>543</v>
      </c>
      <c r="F86" s="29" t="s">
        <v>562</v>
      </c>
      <c r="G86" s="29" t="s">
        <v>563</v>
      </c>
    </row>
    <row r="87" spans="2:7">
      <c r="B87" s="29">
        <v>9.8000000000000007</v>
      </c>
      <c r="C87" s="29" t="str">
        <f>MeasureList!I10</f>
        <v>Replace PTACs</v>
      </c>
      <c r="D87" s="87">
        <v>15</v>
      </c>
      <c r="E87" s="29" t="s">
        <v>560</v>
      </c>
      <c r="F87" s="29" t="s">
        <v>555</v>
      </c>
    </row>
    <row r="88" spans="2:7">
      <c r="B88" s="29">
        <v>9.9</v>
      </c>
      <c r="C88" s="29" t="str">
        <f>MeasureList!I11</f>
        <v>Replace wall/window AC</v>
      </c>
      <c r="D88" s="87">
        <v>10</v>
      </c>
      <c r="E88" s="29" t="s">
        <v>560</v>
      </c>
      <c r="F88" s="29" t="s">
        <v>557</v>
      </c>
    </row>
    <row r="89" spans="2:7">
      <c r="B89" s="90">
        <v>9.1</v>
      </c>
      <c r="C89" s="29" t="str">
        <f>MeasureList!I12</f>
        <v>Add duct insulation</v>
      </c>
      <c r="D89" s="138">
        <v>18</v>
      </c>
      <c r="E89" s="30" t="s">
        <v>511</v>
      </c>
    </row>
    <row r="90" spans="2:7">
      <c r="B90" s="29">
        <v>9.11</v>
      </c>
      <c r="C90" s="29" t="str">
        <f>MeasureList!I13</f>
        <v>Seal ducts</v>
      </c>
      <c r="D90" s="138">
        <v>18</v>
      </c>
      <c r="E90" s="30" t="s">
        <v>511</v>
      </c>
    </row>
    <row r="91" spans="2:7">
      <c r="B91" s="90">
        <v>9.1199999999999992</v>
      </c>
      <c r="C91" s="29" t="str">
        <f>MeasureList!I14</f>
        <v>Replace exhaust or ventilation fans</v>
      </c>
      <c r="D91" s="92">
        <v>15</v>
      </c>
      <c r="E91" s="30" t="s">
        <v>540</v>
      </c>
      <c r="F91" s="29" t="s">
        <v>568</v>
      </c>
      <c r="G91" s="29" t="s">
        <v>569</v>
      </c>
    </row>
    <row r="92" spans="2:7">
      <c r="B92" s="29">
        <v>9.1300000000000008</v>
      </c>
      <c r="C92" s="29" t="str">
        <f>MeasureList!I15</f>
        <v>Upgrade and balance ventilation system</v>
      </c>
      <c r="D92" s="138">
        <v>10</v>
      </c>
      <c r="E92" s="30"/>
    </row>
    <row r="93" spans="2:7">
      <c r="B93" s="90">
        <v>9.14</v>
      </c>
      <c r="C93" s="29" t="str">
        <f>MeasureList!I16</f>
        <v>Install ground source heat pump system</v>
      </c>
      <c r="D93" s="137">
        <v>25</v>
      </c>
      <c r="E93" s="29" t="s">
        <v>511</v>
      </c>
    </row>
    <row r="94" spans="2:7">
      <c r="B94" s="29">
        <v>9.15</v>
      </c>
      <c r="C94" s="29" t="str">
        <f>MeasureList!I17</f>
        <v>Add or replace cooling tower</v>
      </c>
      <c r="D94" s="87">
        <v>25</v>
      </c>
      <c r="E94" s="29" t="s">
        <v>534</v>
      </c>
      <c r="F94" s="29" t="s">
        <v>533</v>
      </c>
    </row>
    <row r="95" spans="2:7">
      <c r="B95" s="90">
        <v>9.16</v>
      </c>
      <c r="C95" s="29" t="str">
        <f>MeasureList!I18</f>
        <v>Add economizer</v>
      </c>
      <c r="D95" s="137">
        <v>10</v>
      </c>
      <c r="E95" s="29" t="s">
        <v>511</v>
      </c>
    </row>
    <row r="96" spans="2:7">
      <c r="B96" s="29">
        <v>9.17</v>
      </c>
      <c r="C96" s="29" t="str">
        <f>MeasureList!I19</f>
        <v>Add energy recovery</v>
      </c>
      <c r="D96" s="137">
        <v>15</v>
      </c>
      <c r="E96" s="29" t="s">
        <v>511</v>
      </c>
    </row>
    <row r="97" spans="2:7">
      <c r="B97" s="90">
        <v>9.18</v>
      </c>
      <c r="C97" s="29" t="str">
        <f>MeasureList!I20</f>
        <v>Other heating</v>
      </c>
      <c r="E97" s="29" t="s">
        <v>511</v>
      </c>
    </row>
    <row r="98" spans="2:7">
      <c r="B98" s="90">
        <v>9.19</v>
      </c>
      <c r="C98" s="29" t="str">
        <f>MeasureList!I21</f>
        <v>Other cooling</v>
      </c>
      <c r="E98" s="29" t="s">
        <v>511</v>
      </c>
    </row>
    <row r="99" spans="2:7">
      <c r="B99" s="90">
        <v>9.1999999999999993</v>
      </c>
      <c r="C99" s="29" t="str">
        <f>MeasureList!I22</f>
        <v>Other ventilation</v>
      </c>
      <c r="E99" s="29" t="s">
        <v>511</v>
      </c>
    </row>
    <row r="100" spans="2:7">
      <c r="B100" s="29">
        <v>9.2100000000000009</v>
      </c>
      <c r="C100" s="29" t="str">
        <f>MeasureList!I23</f>
        <v>Other distribution</v>
      </c>
      <c r="E100" s="29" t="s">
        <v>511</v>
      </c>
    </row>
    <row r="101" spans="2:7">
      <c r="B101" s="90">
        <v>9.2200000000000006</v>
      </c>
      <c r="C101" s="29" t="str">
        <f>MeasureList!I24</f>
        <v>Other</v>
      </c>
      <c r="E101" s="29" t="s">
        <v>511</v>
      </c>
    </row>
    <row r="103" spans="2:7">
      <c r="B103" s="53" t="str">
        <f>measures_table[[#Headers],[Lighting]]</f>
        <v>Lighting</v>
      </c>
      <c r="C103" s="54"/>
      <c r="D103" s="83" t="s">
        <v>508</v>
      </c>
      <c r="E103" s="54" t="s">
        <v>716</v>
      </c>
      <c r="F103" s="54" t="s">
        <v>510</v>
      </c>
      <c r="G103" s="54" t="s">
        <v>537</v>
      </c>
    </row>
    <row r="104" spans="2:7">
      <c r="B104" s="29">
        <v>10.1</v>
      </c>
      <c r="C104" s="29" t="str">
        <f>MeasureList!J3</f>
        <v>Upgrade whole building lighting</v>
      </c>
      <c r="D104" s="87">
        <v>15</v>
      </c>
      <c r="E104" s="29" t="s">
        <v>516</v>
      </c>
      <c r="F104" s="29" t="s">
        <v>517</v>
      </c>
    </row>
    <row r="105" spans="2:7">
      <c r="B105" s="29">
        <v>10.199999999999999</v>
      </c>
      <c r="C105" s="29" t="str">
        <f>MeasureList!J4</f>
        <v>Upgrade common area lighting</v>
      </c>
      <c r="D105" s="87">
        <v>15</v>
      </c>
      <c r="E105" s="29" t="s">
        <v>516</v>
      </c>
      <c r="F105" s="29" t="s">
        <v>517</v>
      </c>
    </row>
    <row r="106" spans="2:7">
      <c r="B106" s="29">
        <v>10.3</v>
      </c>
      <c r="C106" s="29" t="str">
        <f>MeasureList!J5</f>
        <v>Upgrade exterior lighting</v>
      </c>
      <c r="D106" s="87">
        <v>10</v>
      </c>
      <c r="E106" s="29" t="s">
        <v>518</v>
      </c>
      <c r="F106" s="29" t="s">
        <v>519</v>
      </c>
      <c r="G106" s="29" t="s">
        <v>520</v>
      </c>
    </row>
    <row r="107" spans="2:7">
      <c r="B107" s="29">
        <v>10.4</v>
      </c>
      <c r="C107" s="29" t="str">
        <f>MeasureList!J6</f>
        <v>Upgrade in-unit lighting</v>
      </c>
      <c r="D107" s="87">
        <v>15</v>
      </c>
      <c r="E107" s="29" t="s">
        <v>516</v>
      </c>
      <c r="F107" s="29" t="s">
        <v>517</v>
      </c>
    </row>
    <row r="108" spans="2:7">
      <c r="B108" s="29">
        <v>10.5</v>
      </c>
      <c r="C108" s="29" t="str">
        <f>MeasureList!J7</f>
        <v>Install sensors/controls</v>
      </c>
      <c r="D108" s="137">
        <v>10</v>
      </c>
      <c r="E108" s="29" t="s">
        <v>511</v>
      </c>
    </row>
    <row r="109" spans="2:7">
      <c r="B109" s="29">
        <v>10.6</v>
      </c>
      <c r="C109" s="29" t="str">
        <f>MeasureList!J8</f>
        <v>Other</v>
      </c>
      <c r="E109" s="29" t="s">
        <v>511</v>
      </c>
    </row>
    <row r="111" spans="2:7">
      <c r="B111" s="53" t="str">
        <f>measures_table[[#Headers],[Renewable energy systems]]</f>
        <v>Renewable energy systems</v>
      </c>
      <c r="C111" s="54"/>
      <c r="D111" s="83" t="s">
        <v>508</v>
      </c>
      <c r="E111" s="54" t="s">
        <v>716</v>
      </c>
      <c r="F111" s="54" t="s">
        <v>510</v>
      </c>
      <c r="G111" s="54" t="s">
        <v>537</v>
      </c>
    </row>
    <row r="112" spans="2:7">
      <c r="B112" s="29">
        <v>11.1</v>
      </c>
      <c r="C112" s="29" t="str">
        <f>MeasureList!K3</f>
        <v>Install photovoltaic system</v>
      </c>
      <c r="D112" s="137">
        <v>25</v>
      </c>
      <c r="E112" s="29" t="s">
        <v>511</v>
      </c>
    </row>
    <row r="113" spans="2:7">
      <c r="B113" s="29">
        <v>11.2</v>
      </c>
      <c r="C113" s="29" t="str">
        <f>MeasureList!K4</f>
        <v>Install photovoltaic system with battery storage</v>
      </c>
      <c r="D113" s="137">
        <v>25</v>
      </c>
    </row>
    <row r="114" spans="2:7">
      <c r="B114" s="29">
        <v>11.3</v>
      </c>
      <c r="C114" s="29" t="str">
        <f>MeasureList!K5</f>
        <v>Install battery storage</v>
      </c>
      <c r="D114" s="137">
        <v>25</v>
      </c>
    </row>
    <row r="115" spans="2:7">
      <c r="B115" s="29">
        <v>11.4</v>
      </c>
      <c r="C115" s="29" t="str">
        <f>MeasureList!K6</f>
        <v>Install wind energy system</v>
      </c>
      <c r="D115" s="137">
        <v>25</v>
      </c>
      <c r="E115" s="29" t="s">
        <v>511</v>
      </c>
    </row>
    <row r="116" spans="2:7">
      <c r="B116" s="29">
        <v>11.5</v>
      </c>
      <c r="C116" s="29" t="str">
        <f>MeasureList!K7</f>
        <v>Upgrade controls</v>
      </c>
      <c r="D116" s="137">
        <v>25</v>
      </c>
      <c r="E116" s="29" t="s">
        <v>511</v>
      </c>
    </row>
    <row r="117" spans="2:7">
      <c r="B117" s="29">
        <v>11.6</v>
      </c>
      <c r="C117" s="29" t="str">
        <f>MeasureList!K8</f>
        <v>Other</v>
      </c>
      <c r="E117" s="29" t="s">
        <v>511</v>
      </c>
    </row>
    <row r="119" spans="2:7">
      <c r="B119" s="53" t="str">
        <f>measures_table[[#Headers],[Water and sewer conservation]]</f>
        <v>Water and sewer conservation</v>
      </c>
      <c r="C119" s="54"/>
      <c r="D119" s="83" t="s">
        <v>508</v>
      </c>
      <c r="E119" s="54" t="s">
        <v>716</v>
      </c>
      <c r="F119" s="54" t="s">
        <v>510</v>
      </c>
      <c r="G119" s="54" t="s">
        <v>537</v>
      </c>
    </row>
    <row r="120" spans="2:7">
      <c r="B120" s="29">
        <v>12.1</v>
      </c>
      <c r="C120" s="29" t="str">
        <f>MeasureList!L3</f>
        <v>Install WaterSense low-flush toilets</v>
      </c>
      <c r="D120" s="93">
        <v>50</v>
      </c>
      <c r="E120" s="29" t="s">
        <v>512</v>
      </c>
      <c r="F120" s="29" t="s">
        <v>513</v>
      </c>
    </row>
    <row r="121" spans="2:7">
      <c r="B121" s="29">
        <v>12.2</v>
      </c>
      <c r="C121" s="29" t="str">
        <f>MeasureList!L4</f>
        <v>Install WaterSense low-flow bath faucets/aerators</v>
      </c>
      <c r="D121" s="93">
        <v>17.5</v>
      </c>
      <c r="E121" s="29" t="s">
        <v>512</v>
      </c>
      <c r="F121" s="29" t="s">
        <v>514</v>
      </c>
    </row>
    <row r="122" spans="2:7">
      <c r="B122" s="29">
        <v>12.3</v>
      </c>
      <c r="C122" s="29" t="str">
        <f>MeasureList!L5</f>
        <v>Install low-flow kitchen faucets/aerators</v>
      </c>
      <c r="D122" s="93">
        <v>17.5</v>
      </c>
      <c r="E122" s="29" t="s">
        <v>512</v>
      </c>
      <c r="F122" s="29" t="s">
        <v>514</v>
      </c>
    </row>
    <row r="123" spans="2:7">
      <c r="B123" s="29">
        <v>12.4</v>
      </c>
      <c r="C123" s="29" t="str">
        <f>MeasureList!L6</f>
        <v>Install WaterSense low-flow showerheads</v>
      </c>
      <c r="D123" s="93">
        <v>17.5</v>
      </c>
      <c r="E123" s="29" t="s">
        <v>512</v>
      </c>
      <c r="F123" s="29" t="s">
        <v>514</v>
      </c>
    </row>
    <row r="124" spans="2:7">
      <c r="B124" s="29">
        <v>12.5</v>
      </c>
      <c r="C124" s="29" t="str">
        <f>MeasureList!L7</f>
        <v>Install low-flow fixtures</v>
      </c>
      <c r="D124" s="93">
        <v>17.5</v>
      </c>
      <c r="E124" s="29" t="s">
        <v>512</v>
      </c>
      <c r="F124" s="29" t="s">
        <v>514</v>
      </c>
    </row>
    <row r="125" spans="2:7">
      <c r="B125" s="29">
        <v>12.6</v>
      </c>
      <c r="C125" s="29" t="str">
        <f>MeasureList!L8</f>
        <v>Implement water efficient irrigation</v>
      </c>
      <c r="D125" s="137">
        <v>10</v>
      </c>
      <c r="E125" s="29" t="s">
        <v>511</v>
      </c>
    </row>
    <row r="126" spans="2:7">
      <c r="B126" s="29">
        <v>12.7</v>
      </c>
      <c r="C126" s="29" t="str">
        <f>MeasureList!L9</f>
        <v>Install pool cover</v>
      </c>
      <c r="D126" s="137">
        <v>5</v>
      </c>
      <c r="E126" s="29" t="s">
        <v>511</v>
      </c>
    </row>
    <row r="127" spans="2:7">
      <c r="B127" s="29">
        <v>12.8</v>
      </c>
      <c r="C127" s="29" t="str">
        <f>MeasureList!L10</f>
        <v>Install thermostatic showerhead valves and/or tub diverters</v>
      </c>
      <c r="D127" s="137">
        <v>5</v>
      </c>
      <c r="E127" s="29" t="s">
        <v>511</v>
      </c>
    </row>
    <row r="128" spans="2:7">
      <c r="B128" s="29">
        <v>12.9</v>
      </c>
      <c r="C128" s="29" t="str">
        <f>MeasureList!L11</f>
        <v>Upgrade controls</v>
      </c>
      <c r="D128" s="137">
        <v>10</v>
      </c>
      <c r="E128" s="29" t="s">
        <v>511</v>
      </c>
    </row>
    <row r="129" spans="2:7">
      <c r="B129" s="183">
        <v>12.1</v>
      </c>
      <c r="C129" s="29" t="str">
        <f>MeasureList!L12</f>
        <v>Other</v>
      </c>
      <c r="E129" s="29" t="s">
        <v>511</v>
      </c>
    </row>
    <row r="131" spans="2:7">
      <c r="B131" s="53" t="str">
        <f>measures_table[[#Headers],[Water and steam distribution]]</f>
        <v>Water and steam distribution</v>
      </c>
      <c r="C131" s="54"/>
      <c r="D131" s="83" t="s">
        <v>508</v>
      </c>
      <c r="E131" s="54" t="s">
        <v>716</v>
      </c>
      <c r="F131" s="54" t="s">
        <v>510</v>
      </c>
      <c r="G131" s="54" t="s">
        <v>537</v>
      </c>
    </row>
    <row r="132" spans="2:7">
      <c r="B132" s="29">
        <v>13.1</v>
      </c>
      <c r="C132" s="29" t="str">
        <f>MeasureList!M3</f>
        <v>Add pipe insulation</v>
      </c>
      <c r="D132" s="137">
        <v>10</v>
      </c>
      <c r="E132" s="29" t="s">
        <v>511</v>
      </c>
    </row>
    <row r="133" spans="2:7">
      <c r="B133" s="29">
        <v>13.2</v>
      </c>
      <c r="C133" s="29" t="str">
        <f>MeasureList!M4</f>
        <v>Replace with higher efficiency pump</v>
      </c>
      <c r="D133" s="137">
        <v>15</v>
      </c>
      <c r="E133" s="29" t="s">
        <v>511</v>
      </c>
    </row>
    <row r="134" spans="2:7">
      <c r="B134" s="29">
        <v>13.3</v>
      </c>
      <c r="C134" s="29" t="str">
        <f>MeasureList!M5</f>
        <v>Replace with variable speed pump</v>
      </c>
      <c r="D134" s="137">
        <v>15</v>
      </c>
      <c r="E134" s="29" t="s">
        <v>511</v>
      </c>
    </row>
    <row r="135" spans="2:7">
      <c r="B135" s="29">
        <v>13.4</v>
      </c>
      <c r="C135" s="29" t="str">
        <f>MeasureList!M6</f>
        <v>Add recirculating pumps</v>
      </c>
      <c r="D135" s="93">
        <v>15</v>
      </c>
      <c r="E135" s="29" t="s">
        <v>532</v>
      </c>
      <c r="F135" s="29" t="s">
        <v>567</v>
      </c>
    </row>
    <row r="136" spans="2:7">
      <c r="B136" s="29">
        <v>13.5</v>
      </c>
      <c r="C136" s="29" t="str">
        <f>MeasureList!M7</f>
        <v>Balance distribution system</v>
      </c>
      <c r="D136" s="137">
        <v>10</v>
      </c>
      <c r="E136" s="29" t="s">
        <v>511</v>
      </c>
    </row>
    <row r="137" spans="2:7">
      <c r="B137" s="29">
        <v>13.6</v>
      </c>
      <c r="C137" s="29" t="str">
        <f>MeasureList!M8</f>
        <v>Replace steam traps</v>
      </c>
      <c r="D137" s="137">
        <v>10</v>
      </c>
      <c r="E137" s="29" t="s">
        <v>511</v>
      </c>
    </row>
    <row r="138" spans="2:7">
      <c r="B138" s="29">
        <v>13.7</v>
      </c>
      <c r="C138" s="29" t="str">
        <f>MeasureList!M9</f>
        <v>Install thermostatic radiator valves</v>
      </c>
      <c r="D138" s="137">
        <v>10</v>
      </c>
      <c r="E138" s="29" t="s">
        <v>511</v>
      </c>
    </row>
    <row r="139" spans="2:7">
      <c r="B139" s="29">
        <v>13.8</v>
      </c>
      <c r="C139" s="29" t="str">
        <f>MeasureList!M10</f>
        <v>Install or replace condensate return system</v>
      </c>
      <c r="D139" s="87">
        <v>25</v>
      </c>
      <c r="E139" s="29" t="s">
        <v>532</v>
      </c>
      <c r="F139" s="29" t="s">
        <v>566</v>
      </c>
    </row>
    <row r="140" spans="2:7">
      <c r="B140" s="29">
        <v>13.9</v>
      </c>
      <c r="C140" s="29" t="str">
        <f>MeasureList!M11</f>
        <v>Add energy recovery</v>
      </c>
      <c r="D140" s="137">
        <v>15</v>
      </c>
      <c r="E140" s="29" t="s">
        <v>511</v>
      </c>
    </row>
    <row r="141" spans="2:7">
      <c r="B141" s="90">
        <v>13.1</v>
      </c>
      <c r="C141" s="29" t="str">
        <f>MeasureList!M12</f>
        <v>Upgrade controls</v>
      </c>
      <c r="D141" s="137">
        <v>10</v>
      </c>
      <c r="E141" s="29" t="s">
        <v>511</v>
      </c>
    </row>
    <row r="142" spans="2:7">
      <c r="B142" s="29">
        <v>13.11</v>
      </c>
      <c r="C142" s="29" t="str">
        <f>MeasureList!M13</f>
        <v>Other</v>
      </c>
      <c r="E142" s="29" t="s">
        <v>511</v>
      </c>
    </row>
    <row r="144" spans="2:7">
      <c r="B144" s="53" t="str">
        <f>measures_table[[#Headers],[Uncategorized]]</f>
        <v>Uncategorized</v>
      </c>
      <c r="C144" s="54"/>
      <c r="D144" s="83" t="s">
        <v>508</v>
      </c>
      <c r="E144" s="54" t="s">
        <v>716</v>
      </c>
      <c r="F144" s="54" t="s">
        <v>510</v>
      </c>
      <c r="G144" s="54" t="s">
        <v>537</v>
      </c>
    </row>
    <row r="145" spans="2:5">
      <c r="B145" s="29">
        <v>14.1</v>
      </c>
      <c r="C145" s="29" t="str">
        <f>MeasureList!N3</f>
        <v>Other</v>
      </c>
      <c r="E145" s="29" t="s">
        <v>511</v>
      </c>
    </row>
  </sheetData>
  <mergeCells count="1">
    <mergeCell ref="B3:K3"/>
  </mergeCells>
  <pageMargins left="0.7" right="0.7" top="0.75" bottom="0.75" header="0.3" footer="0.3"/>
  <pageSetup paperSize="5" scale="79" orientation="portrait" horizontalDpi="300" verticalDpi="300" r:id="rId1"/>
  <headerFooter>
    <oddFooter>&amp;L&amp;"Arial,Regular"May, 2017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opLeftCell="D1" zoomScale="90" zoomScaleNormal="90" workbookViewId="0">
      <selection activeCell="I26" sqref="I26"/>
    </sheetView>
  </sheetViews>
  <sheetFormatPr defaultRowHeight="15"/>
  <cols>
    <col min="1" max="1" width="22.28515625" customWidth="1"/>
    <col min="2" max="2" width="18.7109375" customWidth="1"/>
    <col min="3" max="3" width="27.28515625" customWidth="1"/>
    <col min="4" max="4" width="33.7109375" customWidth="1"/>
    <col min="5" max="5" width="35" customWidth="1"/>
    <col min="6" max="6" width="20.28515625" customWidth="1"/>
    <col min="7" max="7" width="21.7109375" customWidth="1"/>
    <col min="8" max="8" width="16.42578125" customWidth="1"/>
    <col min="9" max="9" width="42.7109375" customWidth="1"/>
    <col min="10" max="10" width="23.28515625" customWidth="1"/>
    <col min="11" max="11" width="19.5703125" customWidth="1"/>
    <col min="12" max="12" width="28" customWidth="1"/>
    <col min="13" max="13" width="23" customWidth="1"/>
  </cols>
  <sheetData>
    <row r="1" spans="1:15">
      <c r="A1" t="s">
        <v>296</v>
      </c>
      <c r="B1" t="s">
        <v>126</v>
      </c>
      <c r="C1" s="1" t="s">
        <v>118</v>
      </c>
      <c r="D1" t="s">
        <v>119</v>
      </c>
      <c r="E1" s="1" t="s">
        <v>122</v>
      </c>
      <c r="F1" t="s">
        <v>123</v>
      </c>
      <c r="G1" t="s">
        <v>121</v>
      </c>
      <c r="H1" t="s">
        <v>124</v>
      </c>
      <c r="I1" t="s">
        <v>125</v>
      </c>
      <c r="J1" t="s">
        <v>48</v>
      </c>
      <c r="K1" t="s">
        <v>127</v>
      </c>
      <c r="L1" t="s">
        <v>192</v>
      </c>
      <c r="M1" t="s">
        <v>120</v>
      </c>
      <c r="N1" t="s">
        <v>128</v>
      </c>
    </row>
    <row r="2" spans="1:15">
      <c r="C2" s="1"/>
      <c r="E2" s="1"/>
    </row>
    <row r="3" spans="1:15">
      <c r="A3" s="49" t="s">
        <v>139</v>
      </c>
      <c r="B3" t="s">
        <v>130</v>
      </c>
      <c r="C3" s="1" t="s">
        <v>470</v>
      </c>
      <c r="D3" s="1" t="s">
        <v>142</v>
      </c>
      <c r="E3" t="s">
        <v>153</v>
      </c>
      <c r="F3" t="s">
        <v>155</v>
      </c>
      <c r="G3" t="s">
        <v>284</v>
      </c>
      <c r="H3" t="s">
        <v>161</v>
      </c>
      <c r="I3" t="s">
        <v>786</v>
      </c>
      <c r="J3" t="s">
        <v>174</v>
      </c>
      <c r="K3" s="1" t="s">
        <v>179</v>
      </c>
      <c r="L3" s="182" t="s">
        <v>781</v>
      </c>
      <c r="M3" t="s">
        <v>186</v>
      </c>
      <c r="N3" t="s">
        <v>49</v>
      </c>
    </row>
    <row r="4" spans="1:15">
      <c r="A4" s="1" t="s">
        <v>140</v>
      </c>
      <c r="B4" t="s">
        <v>131</v>
      </c>
      <c r="C4" t="s">
        <v>471</v>
      </c>
      <c r="D4" t="s">
        <v>143</v>
      </c>
      <c r="E4" t="s">
        <v>152</v>
      </c>
      <c r="F4" s="1" t="s">
        <v>156</v>
      </c>
      <c r="G4" t="s">
        <v>295</v>
      </c>
      <c r="H4" t="s">
        <v>162</v>
      </c>
      <c r="I4" t="s">
        <v>234</v>
      </c>
      <c r="J4" t="s">
        <v>175</v>
      </c>
      <c r="K4" s="1" t="s">
        <v>623</v>
      </c>
      <c r="L4" s="182" t="s">
        <v>782</v>
      </c>
      <c r="M4" t="s">
        <v>188</v>
      </c>
    </row>
    <row r="5" spans="1:15">
      <c r="A5" s="1" t="s">
        <v>141</v>
      </c>
      <c r="B5" t="s">
        <v>132</v>
      </c>
      <c r="C5" s="1" t="s">
        <v>134</v>
      </c>
      <c r="D5" t="s">
        <v>144</v>
      </c>
      <c r="E5" t="s">
        <v>712</v>
      </c>
      <c r="F5" t="s">
        <v>157</v>
      </c>
      <c r="G5" s="1" t="s">
        <v>159</v>
      </c>
      <c r="H5" t="s">
        <v>163</v>
      </c>
      <c r="I5" t="s">
        <v>172</v>
      </c>
      <c r="J5" s="1" t="s">
        <v>176</v>
      </c>
      <c r="K5" t="s">
        <v>630</v>
      </c>
      <c r="L5" s="182" t="s">
        <v>783</v>
      </c>
      <c r="M5" t="s">
        <v>189</v>
      </c>
    </row>
    <row r="6" spans="1:15">
      <c r="A6" s="1" t="s">
        <v>129</v>
      </c>
      <c r="B6" s="4" t="s">
        <v>237</v>
      </c>
      <c r="C6" t="s">
        <v>135</v>
      </c>
      <c r="D6" t="s">
        <v>461</v>
      </c>
      <c r="E6" t="s">
        <v>154</v>
      </c>
      <c r="F6" t="s">
        <v>158</v>
      </c>
      <c r="G6" s="1" t="s">
        <v>160</v>
      </c>
      <c r="H6" t="s">
        <v>164</v>
      </c>
      <c r="I6" t="s">
        <v>238</v>
      </c>
      <c r="J6" s="1" t="s">
        <v>177</v>
      </c>
      <c r="K6" s="1" t="s">
        <v>180</v>
      </c>
      <c r="L6" s="182" t="s">
        <v>784</v>
      </c>
      <c r="M6" t="s">
        <v>187</v>
      </c>
    </row>
    <row r="7" spans="1:15">
      <c r="A7" s="1" t="s">
        <v>49</v>
      </c>
      <c r="B7" t="s">
        <v>133</v>
      </c>
      <c r="C7" t="s">
        <v>138</v>
      </c>
      <c r="D7" t="s">
        <v>149</v>
      </c>
      <c r="E7" t="s">
        <v>136</v>
      </c>
      <c r="F7" t="s">
        <v>254</v>
      </c>
      <c r="G7" t="s">
        <v>254</v>
      </c>
      <c r="H7" t="s">
        <v>49</v>
      </c>
      <c r="I7" t="s">
        <v>235</v>
      </c>
      <c r="J7" t="s">
        <v>178</v>
      </c>
      <c r="K7" s="1" t="s">
        <v>254</v>
      </c>
      <c r="L7" t="s">
        <v>220</v>
      </c>
      <c r="M7" t="s">
        <v>190</v>
      </c>
      <c r="O7" t="str">
        <f t="shared" ref="O7:O16" si="0">MID(N8, 4, 100)</f>
        <v/>
      </c>
    </row>
    <row r="8" spans="1:15">
      <c r="B8" s="1" t="s">
        <v>49</v>
      </c>
      <c r="C8" t="s">
        <v>136</v>
      </c>
      <c r="D8" t="s">
        <v>774</v>
      </c>
      <c r="E8" t="s">
        <v>254</v>
      </c>
      <c r="F8" t="s">
        <v>49</v>
      </c>
      <c r="G8" t="s">
        <v>49</v>
      </c>
      <c r="I8" t="s">
        <v>167</v>
      </c>
      <c r="J8" t="s">
        <v>49</v>
      </c>
      <c r="K8" s="1" t="s">
        <v>49</v>
      </c>
      <c r="L8" t="s">
        <v>183</v>
      </c>
      <c r="M8" t="s">
        <v>297</v>
      </c>
      <c r="O8" t="str">
        <f t="shared" si="0"/>
        <v/>
      </c>
    </row>
    <row r="9" spans="1:15">
      <c r="C9" t="s">
        <v>137</v>
      </c>
      <c r="D9" t="s">
        <v>148</v>
      </c>
      <c r="E9" t="s">
        <v>49</v>
      </c>
      <c r="I9" t="s">
        <v>165</v>
      </c>
      <c r="L9" t="s">
        <v>303</v>
      </c>
      <c r="M9" s="1" t="s">
        <v>191</v>
      </c>
      <c r="O9" t="str">
        <f t="shared" si="0"/>
        <v/>
      </c>
    </row>
    <row r="10" spans="1:15">
      <c r="A10" s="1"/>
      <c r="B10" s="1"/>
      <c r="C10" t="s">
        <v>254</v>
      </c>
      <c r="D10" t="s">
        <v>150</v>
      </c>
      <c r="I10" t="s">
        <v>462</v>
      </c>
      <c r="L10" t="s">
        <v>789</v>
      </c>
      <c r="M10" s="1" t="s">
        <v>464</v>
      </c>
      <c r="O10" t="str">
        <f t="shared" si="0"/>
        <v/>
      </c>
    </row>
    <row r="11" spans="1:15">
      <c r="A11" s="1"/>
      <c r="C11" s="1" t="s">
        <v>49</v>
      </c>
      <c r="D11" s="1" t="s">
        <v>151</v>
      </c>
      <c r="I11" t="s">
        <v>173</v>
      </c>
      <c r="L11" t="s">
        <v>254</v>
      </c>
      <c r="M11" t="s">
        <v>136</v>
      </c>
      <c r="O11" t="str">
        <f t="shared" si="0"/>
        <v/>
      </c>
    </row>
    <row r="12" spans="1:15">
      <c r="D12" s="1" t="s">
        <v>146</v>
      </c>
      <c r="I12" t="s">
        <v>166</v>
      </c>
      <c r="L12" t="s">
        <v>49</v>
      </c>
      <c r="M12" t="s">
        <v>254</v>
      </c>
      <c r="O12" t="str">
        <f t="shared" si="0"/>
        <v/>
      </c>
    </row>
    <row r="13" spans="1:15">
      <c r="D13" s="1" t="s">
        <v>147</v>
      </c>
      <c r="I13" t="s">
        <v>298</v>
      </c>
      <c r="M13" t="s">
        <v>49</v>
      </c>
      <c r="O13" t="str">
        <f t="shared" si="0"/>
        <v/>
      </c>
    </row>
    <row r="14" spans="1:15">
      <c r="D14" t="s">
        <v>145</v>
      </c>
      <c r="I14" t="s">
        <v>304</v>
      </c>
      <c r="O14" t="str">
        <f t="shared" si="0"/>
        <v/>
      </c>
    </row>
    <row r="15" spans="1:15">
      <c r="A15" s="4"/>
      <c r="D15" t="s">
        <v>49</v>
      </c>
      <c r="I15" t="s">
        <v>236</v>
      </c>
      <c r="O15" t="str">
        <f t="shared" si="0"/>
        <v/>
      </c>
    </row>
    <row r="16" spans="1:15">
      <c r="D16" s="1"/>
      <c r="I16" t="s">
        <v>463</v>
      </c>
      <c r="O16" t="str">
        <f t="shared" si="0"/>
        <v/>
      </c>
    </row>
    <row r="17" spans="4:12">
      <c r="D17" s="1"/>
      <c r="I17" t="s">
        <v>154</v>
      </c>
    </row>
    <row r="18" spans="4:12">
      <c r="D18" s="1"/>
      <c r="I18" t="s">
        <v>711</v>
      </c>
    </row>
    <row r="19" spans="4:12">
      <c r="D19" s="1"/>
      <c r="I19" t="s">
        <v>136</v>
      </c>
    </row>
    <row r="20" spans="4:12">
      <c r="D20" s="1"/>
      <c r="I20" t="s">
        <v>168</v>
      </c>
    </row>
    <row r="21" spans="4:12">
      <c r="I21" t="s">
        <v>169</v>
      </c>
    </row>
    <row r="22" spans="4:12">
      <c r="I22" t="s">
        <v>170</v>
      </c>
    </row>
    <row r="23" spans="4:12">
      <c r="I23" t="s">
        <v>171</v>
      </c>
    </row>
    <row r="24" spans="4:12">
      <c r="I24" t="s">
        <v>49</v>
      </c>
    </row>
    <row r="25" spans="4:12" ht="165">
      <c r="L25" s="2" t="s">
        <v>785</v>
      </c>
    </row>
    <row r="27" spans="4:12">
      <c r="I27" s="4"/>
    </row>
    <row r="28" spans="4:12">
      <c r="I28" s="4"/>
    </row>
    <row r="29" spans="4:12">
      <c r="I29" s="4"/>
    </row>
    <row r="30" spans="4:12">
      <c r="I30" s="4"/>
    </row>
  </sheetData>
  <pageMargins left="0.7" right="0.7" top="0.75" bottom="0.75" header="0.3" footer="0.3"/>
  <pageSetup orientation="portrait" r:id="rId1"/>
  <headerFooter>
    <oddFooter>&amp;CConfidential - Internal Distribution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2C5C83BD8C844C99E0F99225638742" ma:contentTypeVersion="0" ma:contentTypeDescription="Create a new document." ma:contentTypeScope="" ma:versionID="439d7d12ba52a048a2b8340bf6a97d6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69A58-43E4-4E74-A4AC-98DC580593EE}">
  <ds:schemaRefs>
    <ds:schemaRef ds:uri="http://schemas.microsoft.com/DataMashup"/>
  </ds:schemaRefs>
</ds:datastoreItem>
</file>

<file path=customXml/itemProps2.xml><?xml version="1.0" encoding="utf-8"?>
<ds:datastoreItem xmlns:ds="http://schemas.openxmlformats.org/officeDocument/2006/customXml" ds:itemID="{9D5AF903-260D-4BD7-95A2-0310A6EF692E}">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E66F9AE-280C-44F1-84BB-CCD1C0C7B409}">
  <ds:schemaRefs>
    <ds:schemaRef ds:uri="http://schemas.microsoft.com/sharepoint/v3/contenttype/forms"/>
  </ds:schemaRefs>
</ds:datastoreItem>
</file>

<file path=customXml/itemProps4.xml><?xml version="1.0" encoding="utf-8"?>
<ds:datastoreItem xmlns:ds="http://schemas.openxmlformats.org/officeDocument/2006/customXml" ds:itemID="{3215FA8B-A9E7-49AA-95F7-5A1680E24413}">
  <ds:schemaRefs>
    <ds:schemaRef ds:uri="http://schemas.microsoft.com/office/2006/metadata/longProperties"/>
  </ds:schemaRefs>
</ds:datastoreItem>
</file>

<file path=customXml/itemProps5.xml><?xml version="1.0" encoding="utf-8"?>
<ds:datastoreItem xmlns:ds="http://schemas.openxmlformats.org/officeDocument/2006/customXml" ds:itemID="{78384ECA-A52D-468A-90C5-5707EFFFD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Instructions</vt:lpstr>
      <vt:lpstr>Lender Validation</vt:lpstr>
      <vt:lpstr>Check Errors</vt:lpstr>
      <vt:lpstr>Input-Property</vt:lpstr>
      <vt:lpstr>QC Ranges</vt:lpstr>
      <vt:lpstr>EWEMQC</vt:lpstr>
      <vt:lpstr>Input-Utilities</vt:lpstr>
      <vt:lpstr>Input-WaterCalc</vt:lpstr>
      <vt:lpstr>Input-Solar</vt:lpstr>
      <vt:lpstr>Input-EWEMs</vt:lpstr>
      <vt:lpstr>Assumptions</vt:lpstr>
      <vt:lpstr>DB-Loans</vt:lpstr>
      <vt:lpstr>DB-Properties</vt:lpstr>
      <vt:lpstr>DB-Utilities</vt:lpstr>
      <vt:lpstr>DB-InUnitUtilities</vt:lpstr>
      <vt:lpstr>DB-WaterCalc</vt:lpstr>
      <vt:lpstr>DB-Solar</vt:lpstr>
      <vt:lpstr>DB-EWEM</vt:lpstr>
      <vt:lpstr>DB-EWEMAdjusted</vt:lpstr>
      <vt:lpstr>Report-Utilities</vt:lpstr>
      <vt:lpstr>Report-EWEMCostSavings</vt:lpstr>
      <vt:lpstr>Report-EWEMConsSavings</vt:lpstr>
      <vt:lpstr>Dropdowns</vt:lpstr>
      <vt:lpstr>Reference-MeasureList</vt:lpstr>
      <vt:lpstr>Reference-MeasureList EULs</vt:lpstr>
      <vt:lpstr>MeasureList</vt:lpstr>
      <vt:lpstr>'Check Errors'!measure_cats</vt:lpstr>
      <vt:lpstr>'DB-EWEMAdjusted'!measure_cats</vt:lpstr>
      <vt:lpstr>'DB-InUnitUtilities'!measure_cats</vt:lpstr>
      <vt:lpstr>'DB-Loans'!measure_cats</vt:lpstr>
      <vt:lpstr>'DB-Properties'!measure_cats</vt:lpstr>
      <vt:lpstr>'DB-Solar'!measure_cats</vt:lpstr>
      <vt:lpstr>'DB-WaterCalc'!measure_cats</vt:lpstr>
      <vt:lpstr>'Input-Property'!measure_cats</vt:lpstr>
      <vt:lpstr>'Input-Solar'!measure_cats</vt:lpstr>
      <vt:lpstr>'Input-Utilities'!measure_cats</vt:lpstr>
      <vt:lpstr>'Lender Validation'!measure_cats</vt:lpstr>
      <vt:lpstr>'Reference-MeasureList EULs'!measure_cats</vt:lpstr>
      <vt:lpstr>'Report-EWEMConsSavings'!measure_cats</vt:lpstr>
      <vt:lpstr>'Report-EWEMCostSavings'!measure_cats</vt:lpstr>
      <vt:lpstr>measure_cats</vt:lpstr>
      <vt:lpstr>'Input-EWEMs'!Print_Area</vt:lpstr>
      <vt:lpstr>'Input-Property'!Print_Area</vt:lpstr>
      <vt:lpstr>'Input-Solar'!Print_Area</vt:lpstr>
      <vt:lpstr>'Input-Utilities'!Print_Area</vt:lpstr>
    </vt:vector>
  </TitlesOfParts>
  <Company>Organization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Fannie Mae</dc:creator>
  <cp:lastModifiedBy>Demian Carpenter</cp:lastModifiedBy>
  <cp:lastPrinted>2019-08-26T14:47:07Z</cp:lastPrinted>
  <dcterms:created xsi:type="dcterms:W3CDTF">2013-02-25T16:23:00Z</dcterms:created>
  <dcterms:modified xsi:type="dcterms:W3CDTF">2020-05-06T18:50:31Z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NewReviewCycle">
    <vt:lpwstr/>
  </property>
  <property fmtid="{D5CDD505-2E9C-101B-9397-08002B2CF9AE}" pid="4" name="ContentTypeId">
    <vt:lpwstr>0x0101000D2C5C83BD8C844C99E0F99225638742</vt:lpwstr>
  </property>
</Properties>
</file>